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521" windowWidth="28845" windowHeight="6945" tabRatio="599" activeTab="1"/>
  </bookViews>
  <sheets>
    <sheet name="Notes" sheetId="1" r:id="rId1"/>
    <sheet name="Indv Schools" sheetId="2" r:id="rId2"/>
    <sheet name="All Schools" sheetId="3" state="hidden" r:id="rId3"/>
    <sheet name="McMillan " sheetId="4" r:id="rId4"/>
    <sheet name="EYSFF" sheetId="5" state="hidden" r:id="rId5"/>
    <sheet name="EYSFF (Additional)" sheetId="6" state="hidden" r:id="rId6"/>
    <sheet name="Sheet1" sheetId="7" state="hidden" r:id="rId7"/>
  </sheets>
  <externalReferences>
    <externalReference r:id="rId10"/>
    <externalReference r:id="rId11"/>
    <externalReference r:id="rId12"/>
    <externalReference r:id="rId13"/>
  </externalReferences>
  <definedNames>
    <definedName name="Anchor_Factors">'[1]Factors'!$A$3</definedName>
    <definedName name="Anchor_NDShare">'[1]New Delegation Control'!$A$52</definedName>
    <definedName name="Col_Ref_Factors">'[1]Factors'!$A$2:$AW$2</definedName>
    <definedName name="Col_Ref_NDShare">'[1]New Delegation Control'!$A$51:$AQ$51</definedName>
    <definedName name="IDACI_B1_Pri">'All Schools'!$E$17</definedName>
    <definedName name="IDACI_B2_Pri">'All Schools'!$E$18</definedName>
    <definedName name="IDACI_B3_Pri">'All Schools'!$E$19</definedName>
    <definedName name="IDACI_B4_Pri">'All Schools'!$E$20</definedName>
    <definedName name="IDACI_B5_Pri">'All Schools'!$E$21</definedName>
    <definedName name="_xlnm.Print_Area" localSheetId="2">'All Schools'!$A$1:$BW$97</definedName>
    <definedName name="_xlnm.Print_Area" localSheetId="1">'Indv Schools'!$B$1:$G$74</definedName>
    <definedName name="_xlnm.Print_Area" localSheetId="0">'Notes'!$B$1:$C$30</definedName>
    <definedName name="_xlnm.Print_Titles" localSheetId="2">'All Schools'!$A:$B</definedName>
    <definedName name="Reception_Uplift_YesNo">'[2]Proforma'!$E$9</definedName>
    <definedName name="School_URN_Factors">'[1]Factors'!$A$3:$A$82</definedName>
    <definedName name="School_URN_NDShare">'[1]New Delegation Control'!$A$52:$A$131</definedName>
  </definedNames>
  <calcPr fullCalcOnLoad="1"/>
</workbook>
</file>

<file path=xl/sharedStrings.xml><?xml version="1.0" encoding="utf-8"?>
<sst xmlns="http://schemas.openxmlformats.org/spreadsheetml/2006/main" count="675" uniqueCount="305">
  <si>
    <t>Post de-delegation budget</t>
  </si>
  <si>
    <t>School Name</t>
  </si>
  <si>
    <t>NOR</t>
  </si>
  <si>
    <t>NOR_Primary</t>
  </si>
  <si>
    <t>NOR_Secondary</t>
  </si>
  <si>
    <t>NOR_KS3</t>
  </si>
  <si>
    <t>NOR_KS4</t>
  </si>
  <si>
    <t>Bourne Primary School</t>
  </si>
  <si>
    <t>Colham Manor Primary School</t>
  </si>
  <si>
    <t>Coteford Junior School</t>
  </si>
  <si>
    <t>Coteford Infant School</t>
  </si>
  <si>
    <t>Deanesfield Primary School</t>
  </si>
  <si>
    <t>Field End Junior School</t>
  </si>
  <si>
    <t>Glebe Primary School</t>
  </si>
  <si>
    <t>Harefield Junior School</t>
  </si>
  <si>
    <t>Lady Bankes Infant School</t>
  </si>
  <si>
    <t>Laurel Lane Primary School</t>
  </si>
  <si>
    <t>Newnham Junior School</t>
  </si>
  <si>
    <t>Newnham Infant School</t>
  </si>
  <si>
    <t>Ryefield Primary School</t>
  </si>
  <si>
    <t>Whitehall Junior School</t>
  </si>
  <si>
    <t>Whiteheath Junior School</t>
  </si>
  <si>
    <t>Yeading Junior School</t>
  </si>
  <si>
    <t>Hermitage Primary School</t>
  </si>
  <si>
    <t>Rabbsfarm Primary School</t>
  </si>
  <si>
    <t>Whitehall Infant School</t>
  </si>
  <si>
    <t>Frithwood Primary School</t>
  </si>
  <si>
    <t>Ruislip Gardens Primary School</t>
  </si>
  <si>
    <t>Hillingdon Primary School</t>
  </si>
  <si>
    <t>Cherry Lane Primary</t>
  </si>
  <si>
    <t>Holy Trinity C. of E. Primary</t>
  </si>
  <si>
    <t>Dr. Triplett's C.E. Primary</t>
  </si>
  <si>
    <t>Botwell House Catholic Primary School</t>
  </si>
  <si>
    <t>St Bernadette Catholic Primary School</t>
  </si>
  <si>
    <t>St.Catherine Catholic Primary School</t>
  </si>
  <si>
    <t>St Mary's Catholic Primary School</t>
  </si>
  <si>
    <t>Sacred Heart Catholic Primary School</t>
  </si>
  <si>
    <t>Oak Farm Infant School</t>
  </si>
  <si>
    <t>Oak Farm Junior School</t>
  </si>
  <si>
    <t>Grange Park Junior School</t>
  </si>
  <si>
    <t>Hillside Infant School</t>
  </si>
  <si>
    <t>Hillside Junior School</t>
  </si>
  <si>
    <t>Charville Primary School</t>
  </si>
  <si>
    <t>Hayes Park</t>
  </si>
  <si>
    <t>Wood End Park Community</t>
  </si>
  <si>
    <t>Ruislip High School</t>
  </si>
  <si>
    <t>Bishop Ramsey CE School</t>
  </si>
  <si>
    <t>Guru Nanak Sikh Academy</t>
  </si>
  <si>
    <t>Queensmead School</t>
  </si>
  <si>
    <t>Uxbridge High School</t>
  </si>
  <si>
    <t>Rosedale College</t>
  </si>
  <si>
    <t>Hewens College</t>
  </si>
  <si>
    <t>The Douay Martyrs School</t>
  </si>
  <si>
    <t>Barnhill Community High</t>
  </si>
  <si>
    <t>Low Attainment (P)</t>
  </si>
  <si>
    <t>Low Attainment (S)</t>
  </si>
  <si>
    <t>EAL (P)</t>
  </si>
  <si>
    <t>EAL (S)</t>
  </si>
  <si>
    <t>Mobility (P)</t>
  </si>
  <si>
    <t>Mobility (S)</t>
  </si>
  <si>
    <t>Lump Sum</t>
  </si>
  <si>
    <t>Split Sites</t>
  </si>
  <si>
    <t>Rates</t>
  </si>
  <si>
    <t>PFI</t>
  </si>
  <si>
    <t>AWPU Total</t>
  </si>
  <si>
    <t>AEN Total</t>
  </si>
  <si>
    <t>Total Allocation</t>
  </si>
  <si>
    <t>Pri Funding</t>
  </si>
  <si>
    <t>Sec Funding</t>
  </si>
  <si>
    <t>MFG % change</t>
  </si>
  <si>
    <t>MFG Value adjustment</t>
  </si>
  <si>
    <t>Post MFG Budget</t>
  </si>
  <si>
    <t>Dedelegation</t>
  </si>
  <si>
    <t>Units</t>
  </si>
  <si>
    <t>DfE</t>
  </si>
  <si>
    <t>AWPU Primary</t>
  </si>
  <si>
    <t>AWPU KS3</t>
  </si>
  <si>
    <t>AWPU KS4</t>
  </si>
  <si>
    <t>Unit Value</t>
  </si>
  <si>
    <t>Total value</t>
  </si>
  <si>
    <t>EAL Primary</t>
  </si>
  <si>
    <t>EAL Secondary</t>
  </si>
  <si>
    <t>Mobility Primary</t>
  </si>
  <si>
    <t>Mobility Secondary</t>
  </si>
  <si>
    <t>Split Site</t>
  </si>
  <si>
    <t>School Factors Total</t>
  </si>
  <si>
    <t>Select School</t>
  </si>
  <si>
    <t>Harefield Infant School</t>
  </si>
  <si>
    <t>Harlyn Primary School</t>
  </si>
  <si>
    <t>Harmondsworth Primary School</t>
  </si>
  <si>
    <t>Heathrow Primary School</t>
  </si>
  <si>
    <t>Lady Bankes Junior School</t>
  </si>
  <si>
    <t>Minet Junior School</t>
  </si>
  <si>
    <t>Minet Infant School</t>
  </si>
  <si>
    <t>Yeading Infant School</t>
  </si>
  <si>
    <t>Highfield Primary School</t>
  </si>
  <si>
    <t>Warrender Primary School</t>
  </si>
  <si>
    <t>Pinkwell Primary School</t>
  </si>
  <si>
    <t>BWI CE Primary School</t>
  </si>
  <si>
    <t>St Andrews CE Primary School</t>
  </si>
  <si>
    <t>Haydon School</t>
  </si>
  <si>
    <t>Vyners School</t>
  </si>
  <si>
    <t>Northwood School</t>
  </si>
  <si>
    <t>select school</t>
  </si>
  <si>
    <t>DfE no.</t>
  </si>
  <si>
    <t>Low Att Pri</t>
  </si>
  <si>
    <t>Mobility Pri</t>
  </si>
  <si>
    <t>Mobility Sec</t>
  </si>
  <si>
    <t>Total</t>
  </si>
  <si>
    <t>Low Att Sec</t>
  </si>
  <si>
    <t>MFG Budget</t>
  </si>
  <si>
    <t>MFG % Change</t>
  </si>
  <si>
    <t>MFG Adjustment %</t>
  </si>
  <si>
    <t>School factors total</t>
  </si>
  <si>
    <t xml:space="preserve">MFG Adjustment </t>
  </si>
  <si>
    <t>Notes</t>
  </si>
  <si>
    <t>Provider</t>
  </si>
  <si>
    <t>IDACI</t>
  </si>
  <si>
    <t>£</t>
  </si>
  <si>
    <t>Funding</t>
  </si>
  <si>
    <t>Hourly Rate</t>
  </si>
  <si>
    <t>Allocation</t>
  </si>
  <si>
    <t>(£ / hour)</t>
  </si>
  <si>
    <t>Maintained Nursery School lump sum</t>
  </si>
  <si>
    <t>Total Hourly Rate</t>
  </si>
  <si>
    <t>EYSFF Funding of Projected Hours (Projected Hours × Total Hourly Rate)</t>
  </si>
  <si>
    <t>Total EYSFF Funding</t>
  </si>
  <si>
    <t>Base</t>
  </si>
  <si>
    <t>The Breakspear School</t>
  </si>
  <si>
    <t>Cowley St. Laurence CE Primary</t>
  </si>
  <si>
    <t>St Matthews Primary School</t>
  </si>
  <si>
    <t>Harlington School</t>
  </si>
  <si>
    <t>Notional SEN allocation</t>
  </si>
  <si>
    <t>Final DSG Schools Block Budget</t>
  </si>
  <si>
    <t>Grange Park Infant School</t>
  </si>
  <si>
    <t>The Harefield Academy</t>
  </si>
  <si>
    <t>John Locke Academy</t>
  </si>
  <si>
    <t>Lake Farm Park Academy</t>
  </si>
  <si>
    <t>Nanaksar Primary School</t>
  </si>
  <si>
    <t>Parkside Studio College</t>
  </si>
  <si>
    <t>Rosedale Primary School</t>
  </si>
  <si>
    <t>INDICATIVE</t>
  </si>
  <si>
    <t>EYSFF</t>
  </si>
  <si>
    <t>Notes to the funding allocations</t>
  </si>
  <si>
    <t>DSG Schools Block</t>
  </si>
  <si>
    <t>Heathrow Aviation Engineering UTC</t>
  </si>
  <si>
    <t>Bishopshalt School</t>
  </si>
  <si>
    <t>Brookside Primary School</t>
  </si>
  <si>
    <t>Hewens Primary School</t>
  </si>
  <si>
    <t>St Martins CE Primary</t>
  </si>
  <si>
    <t>De Salis Studio College</t>
  </si>
  <si>
    <t>Deprivation (FSM Ever 6) Primary</t>
  </si>
  <si>
    <t>Growth Contingency</t>
  </si>
  <si>
    <t>Top up (Low incidence statements)</t>
  </si>
  <si>
    <t>Belmore Nursery and Primary School</t>
  </si>
  <si>
    <t>St Swithun Wells Catholic Primary School</t>
  </si>
  <si>
    <t>Field End Infant School</t>
  </si>
  <si>
    <t>School</t>
  </si>
  <si>
    <t xml:space="preserve">Other DSG funding </t>
  </si>
  <si>
    <t>Other DSG Funding</t>
  </si>
  <si>
    <t>Base rate funding</t>
  </si>
  <si>
    <t>Deprivation supplement</t>
  </si>
  <si>
    <t>Additional needs supplement</t>
  </si>
  <si>
    <t>Percentage of funding</t>
  </si>
  <si>
    <t>Type</t>
  </si>
  <si>
    <t>Total Hours</t>
  </si>
  <si>
    <t>IDACI score</t>
  </si>
  <si>
    <t>Above 0.25 threshold?</t>
  </si>
  <si>
    <t>Mcmillan Nursery</t>
  </si>
  <si>
    <t>Check total</t>
  </si>
  <si>
    <t>Deprivation - Primary FSM6</t>
  </si>
  <si>
    <t>Deprivation - Secondary FSM 6</t>
  </si>
  <si>
    <t>Deprivation - Primary IDACI Band F</t>
  </si>
  <si>
    <t>Deprivation - Primary IDACI Band E</t>
  </si>
  <si>
    <t>Deprivation - Primary IDACI Band D</t>
  </si>
  <si>
    <t>Deprivation - Primary IDACI Band C</t>
  </si>
  <si>
    <t>Deprivation - Primary IDACI Band A</t>
  </si>
  <si>
    <t>Deprivation - Primary IDACI Band B</t>
  </si>
  <si>
    <t>Deprivation - Secondary IDACI Band F</t>
  </si>
  <si>
    <t>Deprivation - Secondary IDACI Band E</t>
  </si>
  <si>
    <t>Deprivation - Secondary IDACI Band D</t>
  </si>
  <si>
    <t>Deprivation - Secondary IDACI Band C</t>
  </si>
  <si>
    <t>Deprivation - Secondary IDACI Band A</t>
  </si>
  <si>
    <t>Deprivation - Secondary IDACI Band B</t>
  </si>
  <si>
    <t>Deprivation (FSM Ever 6) Secondary</t>
  </si>
  <si>
    <t>Deprivation (IDACI) Band F Primary</t>
  </si>
  <si>
    <t>Deprivation (IDACI) Band E Primary</t>
  </si>
  <si>
    <t>Deprivation (IDACI) Band D Primary</t>
  </si>
  <si>
    <t>Deprivation (IDACI) Band C Primary</t>
  </si>
  <si>
    <t>Deprivation (IDACI) Band B Primary</t>
  </si>
  <si>
    <t>Deprivation (IDACI) Band A Primary</t>
  </si>
  <si>
    <t>Deprivation (IDACI) Band F Secondary</t>
  </si>
  <si>
    <t>Deprivation (IDACI) Band E Secondary</t>
  </si>
  <si>
    <t>Deprivation (IDACI) Band D Secondary</t>
  </si>
  <si>
    <t>Deprivation (IDACI) Band C Secondary</t>
  </si>
  <si>
    <t>Deprivation (IDACI) Band B Secondary</t>
  </si>
  <si>
    <t>Deprivation (IDACI) Band A Secondary</t>
  </si>
  <si>
    <t>Deprivation - Primary FSM 6</t>
  </si>
  <si>
    <t>Education functions</t>
  </si>
  <si>
    <t>The Global Academy</t>
  </si>
  <si>
    <t>Swakeleys School for Girls incorporating 6th Form @ Swakeleys</t>
  </si>
  <si>
    <t xml:space="preserve">Cranford Park Primary </t>
  </si>
  <si>
    <r>
      <t>English as an Additional Language</t>
    </r>
    <r>
      <rPr>
        <sz val="10"/>
        <rFont val="Arial"/>
        <family val="2"/>
      </rPr>
      <t xml:space="preserve"> - The agreed factor that has been used is EAL3, where the number of eligible pupils is determined based on children deemed EAL on the census that have been in the school system for less than 3 years.                     </t>
    </r>
  </si>
  <si>
    <t>Education Functions</t>
  </si>
  <si>
    <t>Additional Needs</t>
  </si>
  <si>
    <t>Whiteheath Infant School</t>
  </si>
  <si>
    <t>William Byrd Primary Academy</t>
  </si>
  <si>
    <t>West Drayton Academy</t>
  </si>
  <si>
    <t>Park Academy West London</t>
  </si>
  <si>
    <t>18-19 MFG Unit Value</t>
  </si>
  <si>
    <t>notes updated but need checking</t>
  </si>
  <si>
    <t>Copy and pasted data from apt</t>
  </si>
  <si>
    <t>Copies awpu, idaci, attain, mob rates across</t>
  </si>
  <si>
    <t>West london academy renamed - West Drayton and William Byrd moved</t>
  </si>
  <si>
    <t xml:space="preserve">Deprivation rate changed </t>
  </si>
  <si>
    <t>MFG values copied</t>
  </si>
  <si>
    <t>MFG Unit Value 18/19</t>
  </si>
  <si>
    <t>EYSFF three terms hours values pasted</t>
  </si>
  <si>
    <t>SEN TOP UP Funding</t>
  </si>
  <si>
    <t>Oak Wood School</t>
  </si>
  <si>
    <t>idaci avg copied</t>
  </si>
  <si>
    <t>name changes</t>
  </si>
  <si>
    <t>eal formula</t>
  </si>
  <si>
    <t>Prior Attainment Primary</t>
  </si>
  <si>
    <t>Prior Attainment Secondary</t>
  </si>
  <si>
    <r>
      <t>AWPU</t>
    </r>
    <r>
      <rPr>
        <sz val="10"/>
        <rFont val="Arial"/>
        <family val="2"/>
      </rPr>
      <t xml:space="preserve"> - There are only three allowable rates, Primary, KS3 and KS4. There is an increase from last year on these unit rates due to the increase in Schools Block funding.</t>
    </r>
  </si>
  <si>
    <r>
      <t xml:space="preserve">Mobility - </t>
    </r>
    <r>
      <rPr>
        <sz val="10"/>
        <rFont val="Arial"/>
        <family val="2"/>
      </rPr>
      <t>This factor is based on those pupils whose start date at the school is not September, and entered the school in the last three academic years (excluding nursery entrants). A threshold of 10% is applied, so only schools with over 10% of pupils meeting the criteria will attract funding under this factor.</t>
    </r>
  </si>
  <si>
    <r>
      <t xml:space="preserve">Education Functions - </t>
    </r>
    <r>
      <rPr>
        <sz val="10"/>
        <rFont val="Arial"/>
        <family val="2"/>
      </rPr>
      <t>This is only applicable to council maintained schools (i.e. not academies or free schools). Schools Forum agreed to the de-delegation of funding for the Teachers Pensions Support &amp; Administration.</t>
    </r>
  </si>
  <si>
    <t>Base rate per hour (£)</t>
  </si>
  <si>
    <t>Base rate funding (£)</t>
  </si>
  <si>
    <t>IDACI funding (£)</t>
  </si>
  <si>
    <t>Deprivation per hour (£)</t>
  </si>
  <si>
    <t>Hourly rate (£)</t>
  </si>
  <si>
    <t>IDACI Threshold (£)</t>
  </si>
  <si>
    <t>Total hourly rate (£)</t>
  </si>
  <si>
    <t>Total Budget Funding (£)</t>
  </si>
  <si>
    <t>Lump sum (£)</t>
  </si>
  <si>
    <t>Budgeted Hours</t>
  </si>
  <si>
    <t>Pinkwell Primary</t>
  </si>
  <si>
    <t>SCHOOLS BLOCK FORMULA 2019-20</t>
  </si>
  <si>
    <t>19-20 MFG Budget</t>
  </si>
  <si>
    <t>19-20 MFG Unit Value</t>
  </si>
  <si>
    <t>19-20 MFG Adjustment</t>
  </si>
  <si>
    <t>De-delegation</t>
  </si>
  <si>
    <t>EAL 3 Primary</t>
  </si>
  <si>
    <t>EAL 3 Secondary</t>
  </si>
  <si>
    <t>2019-20 rates</t>
  </si>
  <si>
    <t>Adjustment to 18-19 budget share</t>
  </si>
  <si>
    <t>18-19 rates adjustment</t>
  </si>
  <si>
    <t>Non DSG grants - estimates maintained schools only</t>
  </si>
  <si>
    <t>Pupil Premium-Deprivation</t>
  </si>
  <si>
    <t>Pupil Premium - Service Children</t>
  </si>
  <si>
    <t>Pupil Premium - Post LAC</t>
  </si>
  <si>
    <t>PE and Sports</t>
  </si>
  <si>
    <t>UIFSM</t>
  </si>
  <si>
    <t>DFC</t>
  </si>
  <si>
    <t>Other Grants (ESTIMATES) Maintained schools only</t>
  </si>
  <si>
    <t>Pupil Premium (Deprivation)</t>
  </si>
  <si>
    <t>Pupil Premium (Service Children)</t>
  </si>
  <si>
    <t>Pupil Premium (Post LAC)</t>
  </si>
  <si>
    <t>PE and Sports Grant</t>
  </si>
  <si>
    <t>Universal Infant Free School Meals (UIFSM)</t>
  </si>
  <si>
    <t>Devolved Formula Capital</t>
  </si>
  <si>
    <r>
      <t>Unit Data</t>
    </r>
    <r>
      <rPr>
        <sz val="10"/>
        <color indexed="8"/>
        <rFont val="Arial"/>
        <family val="2"/>
      </rPr>
      <t xml:space="preserve"> - The unit data used comes directly from the DfE, which is in the format as a percentage of the number on roll. All authorities have been instructed to use this data, which is driven in the main by the October 2018 pupil census data. This data is only amendable where it is not representative. As percentages of numbers on roll have been used, the pupil numbers will not be absolute.
The unit values for Additional Educational Need (AEN) have been fixed at the 2018-19 rates for EAL and Mobility. The deprivation factor rates have increased as total deprivation funding is set as a percentage of the total funding which has increased compared with 2018-19. The Primary Prior Attainment rate has been reduced to ensure that the total Prior Attainment funding is broadly in line with 2018-19.
In order to manage the distribution of resources, the AWPU has been used to balance the total Individual Schools Budget shares to maintain the fixed rates for AEN funding.</t>
    </r>
  </si>
  <si>
    <r>
      <t>Pupil Data</t>
    </r>
    <r>
      <rPr>
        <sz val="10"/>
        <rFont val="Arial"/>
        <family val="2"/>
      </rPr>
      <t xml:space="preserve"> - The Pupil Data is based on the October 2018 pupil census as provided by the DfE. The NOR used does not include pupils on the census marked as 'S' (subsidiary registration for dual roled pupils)                                                                                                                                                                                                                                                   
If a school has opened in the last 7 years and is still admitting to all its year groups, we are required by regulations to estimate pupil numbers. Therefore the NOR for these schools will not match the value on the October 2018 census. For these schools, the figures shown are calculated based on the LA's financial year and as such include an element of part year effect for growth for our modelling purposes only, and also to enable the ESFA to recoup funding for them.              </t>
    </r>
  </si>
  <si>
    <r>
      <t xml:space="preserve">Deprivation - </t>
    </r>
    <r>
      <rPr>
        <sz val="10"/>
        <rFont val="Arial"/>
        <family val="2"/>
      </rPr>
      <t xml:space="preserve">The allocation of this factor uses FSM6 and IDACI data. The total funding distributed through the factor is </t>
    </r>
    <r>
      <rPr>
        <sz val="10"/>
        <color indexed="8"/>
        <rFont val="Arial"/>
        <family val="2"/>
      </rPr>
      <t>7.87%, w</t>
    </r>
    <r>
      <rPr>
        <sz val="10"/>
        <rFont val="Arial"/>
        <family val="2"/>
      </rPr>
      <t xml:space="preserve">hich is broadly in line with the national average of other local authorities funding formulas.                                                                                                                                                                                             </t>
    </r>
    <r>
      <rPr>
        <u val="single"/>
        <sz val="10"/>
        <rFont val="Arial"/>
        <family val="2"/>
      </rPr>
      <t>FSM6</t>
    </r>
    <r>
      <rPr>
        <sz val="10"/>
        <rFont val="Arial"/>
        <family val="2"/>
      </rPr>
      <t xml:space="preserve"> - This is used to all</t>
    </r>
    <r>
      <rPr>
        <sz val="10"/>
        <color indexed="8"/>
        <rFont val="Arial"/>
        <family val="2"/>
      </rPr>
      <t xml:space="preserve">ocate 75% </t>
    </r>
    <r>
      <rPr>
        <sz val="10"/>
        <rFont val="Arial"/>
        <family val="2"/>
      </rPr>
      <t xml:space="preserve">of the total deprivation funding. The data set used is the same as the Pupil Premium allocation data for 2018-19, and applied as a percentage to the October 2018 NOR                                                                                                                                                       </t>
    </r>
    <r>
      <rPr>
        <u val="single"/>
        <sz val="10"/>
        <rFont val="Arial"/>
        <family val="2"/>
      </rPr>
      <t>IDACI</t>
    </r>
    <r>
      <rPr>
        <sz val="10"/>
        <rFont val="Arial"/>
        <family val="2"/>
      </rPr>
      <t xml:space="preserve"> (Income and Deprivation Affecting Children Index) -  This is used to allocate</t>
    </r>
    <r>
      <rPr>
        <sz val="10"/>
        <color indexed="8"/>
        <rFont val="Arial"/>
        <family val="2"/>
      </rPr>
      <t xml:space="preserve"> 25%</t>
    </r>
    <r>
      <rPr>
        <sz val="10"/>
        <rFont val="Arial"/>
        <family val="2"/>
      </rPr>
      <t xml:space="preserve"> of the total deprivation funding. IDACI takes into account the home postcode of the child. Each postcode of the child on the October 2018 is assigned a scoring using this index, with 1 being the most deprived and 0 the least. Any child with a scoring over 0.2 will attract funding under this factor, with funding determined by the pre-determined band a child falls into.</t>
    </r>
  </si>
  <si>
    <r>
      <t>Prior Attainment Primary</t>
    </r>
    <r>
      <rPr>
        <sz val="10"/>
        <rFont val="Arial"/>
        <family val="2"/>
      </rPr>
      <t xml:space="preserve"> - This has to be calculated on the Early Years Foundation Stage Profile (EYSFP). For 2019-20 the number of eligible pupils for this factor is based on primary pupils not achieving the expected level of development in the EYSFP. </t>
    </r>
  </si>
  <si>
    <r>
      <t>Prior Attainment Secondary</t>
    </r>
    <r>
      <rPr>
        <sz val="10"/>
        <rFont val="Arial"/>
        <family val="2"/>
      </rPr>
      <t xml:space="preserve"> - This is now calculated using the new KS2 tests for Yr 7-9 pupils, and the previous testing regime for Yr 10 &amp; 11 pupils. This factor applies to secondary pupils not reaching the expected standard in KS2 at either reading or writing or maths.</t>
    </r>
  </si>
  <si>
    <r>
      <t>Rates</t>
    </r>
    <r>
      <rPr>
        <sz val="10"/>
        <rFont val="Arial"/>
        <family val="2"/>
      </rPr>
      <t xml:space="preserve"> - This is made up two elements; an amount for estimated 2019-20 rates bills, and an adjustment for actual 2018-19 bills where we were able to obtain information. The figures for 2019-20 are estimates only, as final bills are not issued until March. The adjustment takes into account differences between last years estimate and now known figures. Any difference between 2019-20 estimates and actuals will be adjusted in the 2020-21 budget.  Academies do not receive funding in the GAG for rates, and claim in year for their bills, so the figures shown are purely for LA modelling purposes.</t>
    </r>
  </si>
  <si>
    <r>
      <t>Minimum Funding Guarantee Budget</t>
    </r>
    <r>
      <rPr>
        <sz val="10"/>
        <rFont val="Arial"/>
        <family val="2"/>
      </rPr>
      <t xml:space="preserve"> - This is determined by deducting the lump sum and the rates figures from the
2019-20 school budget share.  This figure is then divided by the pupil numbers on roll to arrive at the per pupil funding for
2019-20. This is then compared to a similarly calculated per pupil funding for 2018-19.</t>
    </r>
  </si>
  <si>
    <r>
      <t>Minimum Funding Guarantee Adjustment</t>
    </r>
    <r>
      <rPr>
        <sz val="10"/>
        <rFont val="Arial"/>
        <family val="2"/>
      </rPr>
      <t xml:space="preserve"> - The MFG is set at minus 1.5%. Effectively this means that schools can lose up to 1.5% of their 2019-20 per pupil funding when compared to the 2018-19 MFG Budget per pupil. The MFG percentage change indicates the impact on a schools budget, and the MFG Adjustment percentage reflects the difference between this and the assumption that schools can lose 1.5%. Where the adjustment percentage figure is positive, the school will receive a MFG budget allocation, which is reflected in the MFG Adjustment row. Please note the total percentage difference year on year may be greater than -1.5% as the MFG protects the per pupil amount, not pupil number variations, nor changes to rates.</t>
    </r>
  </si>
  <si>
    <r>
      <t>De-Delegation</t>
    </r>
    <r>
      <rPr>
        <sz val="10"/>
        <rFont val="Arial"/>
        <family val="2"/>
      </rPr>
      <t xml:space="preserve"> - This is only applicable to council maintained schools (i.e. not academies or free schools). Schools Forum have agreed to reinstate the de-delegation of funding for staff trade union duties. The figure shown is the amount that will be deducted from your schools baseline budget.</t>
    </r>
  </si>
  <si>
    <t>Summer 18 Hours Actual</t>
  </si>
  <si>
    <t>Autumn 18 Hours Actual</t>
  </si>
  <si>
    <t>EYSFF DRAFT BUDGET 2019/20</t>
  </si>
  <si>
    <t>Spring 19 Hours Actual</t>
  </si>
  <si>
    <t>Growth Contingency Academies April-Aug 19</t>
  </si>
  <si>
    <t>ESFA Sixth form (Aug 19-Mar 20)</t>
  </si>
  <si>
    <t>ESFA Sixth form (Apr 19-Jul 19)</t>
  </si>
  <si>
    <t>20-21</t>
  </si>
  <si>
    <t>Pupil Premium (Deprivation) This is based on the number of children, who have been eligible at any census in the previous 6 years for free school meals.  The figures quoted are based on October 18 multiplied by the 2019-20 rates per pupil.  These allocations will be updated based on January 19 data, when the DfE release this information to us in June, after which we will make an adjustment to your cash advance allocation where necessary</t>
  </si>
  <si>
    <t>Pupil Premium (Service Children) This is based on the number of children who have been recorded as a service child at any census in the last 6 years.  A service child is defined as one whose parents or guardian are a member of the British Armed Forces.  The figures quoted are based on October 18 multiplied by the 2019-20 rates per pupil.  These allocations will be updated based on January 19 data, when the DfE release this information to us in June, after which we will make an adjustment to your cash advance allocation where necessary</t>
  </si>
  <si>
    <t>Pupil Premium (Post LAC) This is based on the number of children who have been adopted from care after 2005, or left care under a special guardianship order after 1991.  The figures quoted have been based on October 18 census data, the DfE will release final allocations in June, after which we will confirm and make an adjusment to your cash advance allocation where necessary</t>
  </si>
  <si>
    <t>PE and Sports Grant This is the final part of the academic year 2018-19 grant, due in May 19, and an estimate of the first instalment of the 2019-20 academic year funding.  We have based the estimate on October 18 pupils and the current funding rates, this will be confirmed by the DfE later in the year, after which adjustments may be made to your cash advance allocation.</t>
  </si>
  <si>
    <t>Universal Infant Free School Meals (UIFSM) This is an academic year grant, therefore your financial year allocation will be made up of 2 amounts - the final payment for the academic year 2018-19 and the first payment for academic year 2019-20.  We have estimated these figures based on October 18 census data made available to us, regarding uptake of meals.  The final figures will be issued by the DfE in June, after which we will make an amendment to your cash advance allocation where necessary</t>
  </si>
  <si>
    <r>
      <t xml:space="preserve">DFC - </t>
    </r>
    <r>
      <rPr>
        <sz val="10"/>
        <rFont val="Arial"/>
        <family val="2"/>
      </rPr>
      <t>This estimate is based on your 2018-19 DFC allocation. As soon as we receive the Devolved Formula Capital allocations for 2019-20 from the DfE we will communicate this to schools and make the necessary adjustment to your funding through the cash advance.</t>
    </r>
  </si>
  <si>
    <t>Growth Contingency Academies Apr 19-Aug 19</t>
  </si>
  <si>
    <t>Adjustment to 18-19 rates</t>
  </si>
  <si>
    <t>Adjustments to 18-19 budget shares</t>
  </si>
  <si>
    <t>MFG Unit Value 19/20</t>
  </si>
  <si>
    <t>Projected Universal Hours</t>
  </si>
  <si>
    <t>Projected Additional Hours</t>
  </si>
  <si>
    <r>
      <rPr>
        <b/>
        <sz val="10"/>
        <rFont val="Arial"/>
        <family val="2"/>
      </rPr>
      <t xml:space="preserve">16-19 Revenue Funding - </t>
    </r>
    <r>
      <rPr>
        <sz val="10"/>
        <rFont val="Arial"/>
        <family val="2"/>
      </rPr>
      <t>Allocations for Apr 19-Jul 19 and Aug 19-Mar 20 as communicated to us by the ESFA</t>
    </r>
  </si>
  <si>
    <t>16-19 Revenue Funding (Apr 19-Jul 19)</t>
  </si>
  <si>
    <t>16-19 Revenue Funding (Aug 19-Mar 20)</t>
  </si>
  <si>
    <t>MCMILLAN NURSERY EYSFF  BUDGET 2019-20</t>
  </si>
  <si>
    <t xml:space="preserve">Autumn 19 Est. Hours </t>
  </si>
  <si>
    <t>Summer 19 Est. Hours</t>
  </si>
  <si>
    <t>Spring 20 Est. Hours</t>
  </si>
  <si>
    <t>EYSFF (Additional)</t>
  </si>
  <si>
    <t>EYSFF (Additional 15 Hrs)</t>
  </si>
  <si>
    <t>EYSFF (Universal 15 Hrs)</t>
  </si>
  <si>
    <r>
      <t xml:space="preserve">Top up (Low Incidence Statements) - </t>
    </r>
    <r>
      <rPr>
        <sz val="10"/>
        <rFont val="Arial"/>
        <family val="2"/>
      </rPr>
      <t xml:space="preserve">This is funding for named children with a statement of SEN or an EHCP, and is based on the current known statemented children for your school as at March 2019. Adjustments have been made for September leavers where known.
</t>
    </r>
    <r>
      <rPr>
        <u val="single"/>
        <sz val="10"/>
        <rFont val="Arial"/>
        <family val="2"/>
      </rPr>
      <t>This figure will be adjusted throughout the year to reflect changes to actual children attending.</t>
    </r>
  </si>
  <si>
    <r>
      <rPr>
        <b/>
        <sz val="10"/>
        <rFont val="Arial"/>
        <family val="2"/>
      </rPr>
      <t>EYSFF (universal hours)</t>
    </r>
    <r>
      <rPr>
        <sz val="10"/>
        <rFont val="Arial"/>
        <family val="2"/>
      </rPr>
      <t xml:space="preserve"> - This indicative budget has been based on the actual May 18, Oct 18, and Jan 19 census which is then multiplied by your hourly rate. The Early Years Funding Formula is unchanged from 2018-19 with a universal base rate (91%), deprivation rate (7%) and additional needs factor (2%) which targets those settings with higher than average IDACI scoring (the figure set is 0.25).
</t>
    </r>
    <r>
      <rPr>
        <b/>
        <sz val="10"/>
        <rFont val="Arial"/>
        <family val="2"/>
      </rPr>
      <t xml:space="preserve">EYSFF (additional hours) - </t>
    </r>
    <r>
      <rPr>
        <sz val="10"/>
        <rFont val="Arial"/>
        <family val="2"/>
      </rPr>
      <t xml:space="preserve">If your school offered the additonal 15 hours in 2018/19 then we have estimated full year funding for 2019/20. This estimate assumes that the number of children accessing the additional entitlement in the Spring term will be consistent throughout the year. This is just an estimate and funding will be amended throughout the year based on actual uptake of the additional entitlement.
</t>
    </r>
  </si>
  <si>
    <r>
      <t xml:space="preserve">Growth Contingency - </t>
    </r>
    <r>
      <rPr>
        <sz val="10"/>
        <rFont val="Arial"/>
        <family val="2"/>
      </rPr>
      <t>This is a contingency of DSG funding held and managed by Schools Forum, which provides funding to those schools who take on an additional form of entry in September. The rate per form of entry has been set at £63,349 for 2019-20. This is calculated by dividing the total AWPU funding for the year by the total number of pupils, multiplied by 30, and apportioned 7/12ths. Academy schools will receive 12/12ths of this funding over the academic year, due to financial year timings. These allocations were approved by Schools Forum at the January meeting.</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</si>
</sst>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 ;\(\$#,##0\)"/>
    <numFmt numFmtId="167" formatCode="#,##0.00_ ;\-#,##0.00\ "/>
    <numFmt numFmtId="168" formatCode="_(&quot;£&quot;* #,##0.00_);_(&quot;£&quot;* \(#,##0.00\);_(&quot;£&quot;* &quot;-&quot;??_);_(@_)"/>
    <numFmt numFmtId="169" formatCode="_(* #,##0.00_);_(* \(#,##0.00\);_(* &quot;-&quot;??_);_(@_)"/>
    <numFmt numFmtId="170" formatCode="&quot;£&quot;#,##0.00"/>
    <numFmt numFmtId="171" formatCode="&quot;£&quot;#,##0"/>
    <numFmt numFmtId="172" formatCode="_-&quot;£&quot;* #,##0_-;\-&quot;£&quot;* #,##0_-;_-&quot;£&quot;* &quot;-&quot;??_-;_-@_-"/>
  </numFmts>
  <fonts count="48">
    <font>
      <sz val="10"/>
      <name val="Arial"/>
      <family val="0"/>
    </font>
    <font>
      <sz val="11"/>
      <color indexed="8"/>
      <name val="Calibri"/>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Arial"/>
      <family val="2"/>
    </font>
    <font>
      <b/>
      <u val="single"/>
      <sz val="14"/>
      <color indexed="24"/>
      <name val="Times New Roman"/>
      <family val="1"/>
    </font>
    <font>
      <b/>
      <sz val="10"/>
      <color indexed="1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24"/>
      <name val="Times New Roman"/>
      <family val="1"/>
    </font>
    <font>
      <b/>
      <sz val="10"/>
      <color indexed="24"/>
      <name val="Times New Roman"/>
      <family val="1"/>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u val="single"/>
      <sz val="10"/>
      <name val="Arial"/>
      <family val="2"/>
    </font>
    <font>
      <b/>
      <u val="single"/>
      <sz val="12"/>
      <name val="Arial"/>
      <family val="2"/>
    </font>
    <font>
      <b/>
      <sz val="12"/>
      <name val="Arial"/>
      <family val="2"/>
    </font>
    <font>
      <sz val="9"/>
      <name val="Arial"/>
      <family val="2"/>
    </font>
    <font>
      <b/>
      <u val="single"/>
      <sz val="14"/>
      <name val="Arial"/>
      <family val="2"/>
    </font>
    <font>
      <b/>
      <u val="single"/>
      <sz val="10"/>
      <name val="Arial"/>
      <family val="2"/>
    </font>
    <font>
      <sz val="8"/>
      <name val="MS Sans Serif"/>
      <family val="2"/>
    </font>
    <font>
      <sz val="12"/>
      <color indexed="8"/>
      <name val="Arial"/>
      <family val="2"/>
    </font>
    <font>
      <b/>
      <u val="single"/>
      <sz val="16"/>
      <color indexed="8"/>
      <name val="Calibri"/>
      <family val="2"/>
    </font>
    <font>
      <i/>
      <sz val="11"/>
      <color indexed="8"/>
      <name val="Calibri"/>
      <family val="2"/>
    </font>
    <font>
      <sz val="11"/>
      <name val="Calibri"/>
      <family val="2"/>
    </font>
    <font>
      <b/>
      <sz val="10"/>
      <color indexed="8"/>
      <name val="Arial"/>
      <family val="2"/>
    </font>
    <font>
      <sz val="10"/>
      <color indexed="8"/>
      <name val="Arial"/>
      <family val="2"/>
    </font>
    <font>
      <sz val="11"/>
      <color theme="1"/>
      <name val="Calibri"/>
      <family val="2"/>
    </font>
    <font>
      <sz val="12"/>
      <color theme="1"/>
      <name val="Arial"/>
      <family val="2"/>
    </font>
    <font>
      <b/>
      <u val="single"/>
      <sz val="16"/>
      <color theme="1"/>
      <name val="Calibri"/>
      <family val="2"/>
    </font>
    <font>
      <i/>
      <sz val="11"/>
      <color theme="1"/>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22"/>
      </patternFill>
    </fill>
    <fill>
      <patternFill patternType="solid">
        <fgColor indexed="13"/>
        <bgColor indexed="64"/>
      </patternFill>
    </fill>
    <fill>
      <patternFill patternType="solid">
        <fgColor indexed="41"/>
        <bgColor indexed="64"/>
      </patternFill>
    </fill>
    <fill>
      <patternFill patternType="solid">
        <fgColor rgb="FF92D050"/>
        <bgColor indexed="64"/>
      </patternFill>
    </fill>
    <fill>
      <patternFill patternType="solid">
        <fgColor theme="7" tint="0.3999499976634979"/>
        <bgColor indexed="64"/>
      </patternFill>
    </fill>
    <fill>
      <patternFill patternType="solid">
        <fgColor rgb="FFFFFF00"/>
        <bgColor indexed="64"/>
      </patternFill>
    </fill>
    <fill>
      <patternFill patternType="solid">
        <fgColor rgb="FF00B0F0"/>
        <bgColor indexed="64"/>
      </patternFill>
    </fill>
    <fill>
      <patternFill patternType="solid">
        <fgColor theme="9" tint="0.39998000860214233"/>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indexed="23"/>
      </top>
      <bottom style="medium">
        <color indexed="2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ck"/>
      <bottom style="double"/>
    </border>
    <border>
      <left/>
      <right/>
      <top style="thin"/>
      <bottom/>
    </border>
    <border>
      <left style="double"/>
      <right style="double"/>
      <top style="double"/>
      <bottom style="double"/>
    </border>
    <border>
      <left/>
      <right style="thick"/>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style="thin"/>
      <bottom style="double"/>
    </border>
    <border>
      <left style="thick"/>
      <right style="thick"/>
      <top style="thin"/>
      <bottom/>
    </border>
    <border>
      <left/>
      <right/>
      <top style="thin"/>
      <bottom style="thin"/>
    </border>
    <border>
      <left/>
      <right/>
      <top style="thin">
        <color indexed="62"/>
      </top>
      <bottom style="double">
        <color indexed="62"/>
      </bottom>
    </border>
    <border>
      <left style="medium"/>
      <right style="medium"/>
      <top style="medium"/>
      <bottom style="medium"/>
    </border>
    <border>
      <left style="medium"/>
      <right style="medium"/>
      <top/>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right/>
      <top style="medium"/>
      <bottom/>
    </border>
    <border>
      <left/>
      <right/>
      <top/>
      <bottom style="medium"/>
    </border>
    <border>
      <left style="thin"/>
      <right/>
      <top/>
      <bottom/>
    </border>
    <border>
      <left style="thin"/>
      <right/>
      <top style="thin"/>
      <bottom/>
    </border>
    <border>
      <left/>
      <right style="thin"/>
      <top/>
      <bottom style="thin"/>
    </border>
    <border>
      <left style="medium"/>
      <right style="thin"/>
      <top style="medium"/>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style="medium"/>
      <right/>
      <top/>
      <bottom/>
    </border>
    <border>
      <left/>
      <right style="medium"/>
      <top/>
      <bottom/>
    </border>
    <border>
      <left style="thin"/>
      <right style="medium"/>
      <top style="medium"/>
      <bottom style="thin"/>
    </border>
    <border>
      <left style="thin"/>
      <right/>
      <top style="medium"/>
      <bottom style="medium"/>
    </border>
    <border>
      <left style="medium"/>
      <right style="thin"/>
      <top style="thin"/>
      <bottom/>
    </border>
    <border>
      <left style="medium"/>
      <right/>
      <top style="medium"/>
      <bottom/>
    </border>
    <border>
      <left/>
      <right style="medium"/>
      <top style="medium"/>
      <bottom/>
    </border>
    <border>
      <left style="thin"/>
      <right style="thin"/>
      <top style="thin"/>
      <bottom style="medium"/>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style="thin"/>
      <right/>
      <top style="thin"/>
      <bottom style="medium"/>
    </border>
    <border>
      <left/>
      <right style="medium"/>
      <top style="medium"/>
      <bottom style="thin"/>
    </border>
    <border>
      <left/>
      <right style="medium"/>
      <top style="thin"/>
      <bottom style="thin"/>
    </border>
    <border>
      <left/>
      <right style="medium"/>
      <top style="thin"/>
      <bottom style="medium"/>
    </border>
    <border>
      <left/>
      <right style="thin"/>
      <top style="medium"/>
      <bottom style="thin"/>
    </border>
    <border>
      <left/>
      <right style="thin"/>
      <top style="thin"/>
      <bottom style="medium"/>
    </border>
    <border>
      <left style="medium"/>
      <right style="thin"/>
      <top/>
      <bottom style="thin"/>
    </border>
    <border>
      <left style="thin"/>
      <right style="medium"/>
      <top/>
      <bottom style="thin"/>
    </border>
    <border>
      <left style="medium"/>
      <right style="thin"/>
      <top/>
      <bottom/>
    </border>
    <border>
      <left style="thin"/>
      <right style="medium"/>
      <top/>
      <bottom/>
    </border>
    <border>
      <left style="medium"/>
      <right style="medium"/>
      <top/>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8" fillId="0" borderId="0" applyFont="0" applyFill="0" applyBorder="0" applyAlignment="0" applyProtection="0"/>
    <xf numFmtId="0" fontId="9" fillId="0" borderId="0" applyNumberFormat="0" applyFill="0" applyBorder="0" applyAlignment="0" applyProtection="0"/>
    <xf numFmtId="8" fontId="10" fillId="0" borderId="3"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42" fillId="0" borderId="0" applyFont="0" applyFill="0" applyBorder="0" applyAlignment="0" applyProtection="0"/>
    <xf numFmtId="168" fontId="0"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11" fillId="0" borderId="0" applyNumberFormat="0" applyFill="0" applyBorder="0" applyAlignment="0" applyProtection="0"/>
    <xf numFmtId="2" fontId="8" fillId="0" borderId="0" applyFon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2" fillId="0" borderId="0">
      <alignment horizontal="left" vertical="center"/>
      <protection/>
    </xf>
    <xf numFmtId="0" fontId="17" fillId="0" borderId="7" applyNumberFormat="0" applyFill="0" applyAlignment="0" applyProtection="0"/>
    <xf numFmtId="0" fontId="18"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5" fillId="0" borderId="0" applyAlignment="0">
      <protection locked="0"/>
    </xf>
    <xf numFmtId="0" fontId="0" fillId="0" borderId="0">
      <alignment/>
      <protection/>
    </xf>
    <xf numFmtId="0" fontId="0" fillId="0" borderId="0">
      <alignment/>
      <protection/>
    </xf>
    <xf numFmtId="0" fontId="43"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19" fillId="0" borderId="0">
      <alignment horizontal="right"/>
      <protection/>
    </xf>
    <xf numFmtId="3" fontId="19" fillId="0" borderId="8">
      <alignment/>
      <protection/>
    </xf>
    <xf numFmtId="3" fontId="19" fillId="0" borderId="9">
      <alignment/>
      <protection/>
    </xf>
    <xf numFmtId="0" fontId="20" fillId="0" borderId="0">
      <alignment horizontal="left"/>
      <protection/>
    </xf>
    <xf numFmtId="3" fontId="19" fillId="0" borderId="10">
      <alignment horizontal="right"/>
      <protection/>
    </xf>
    <xf numFmtId="3" fontId="19" fillId="0" borderId="11">
      <alignment/>
      <protection/>
    </xf>
    <xf numFmtId="0" fontId="0" fillId="23" borderId="12" applyNumberFormat="0" applyFont="0" applyAlignment="0" applyProtection="0"/>
    <xf numFmtId="3" fontId="2" fillId="0" borderId="0">
      <alignment horizontal="right"/>
      <protection/>
    </xf>
    <xf numFmtId="0" fontId="21" fillId="20" borderId="13" applyNumberFormat="0" applyAlignment="0" applyProtection="0"/>
    <xf numFmtId="40" fontId="22" fillId="24" borderId="0">
      <alignment horizontal="right"/>
      <protection/>
    </xf>
    <xf numFmtId="0" fontId="23" fillId="24" borderId="0">
      <alignment horizontal="right"/>
      <protection/>
    </xf>
    <xf numFmtId="0" fontId="24" fillId="24" borderId="14">
      <alignment/>
      <protection/>
    </xf>
    <xf numFmtId="0" fontId="24" fillId="0" borderId="0" applyBorder="0">
      <alignment horizontal="centerContinuous"/>
      <protection/>
    </xf>
    <xf numFmtId="0" fontId="25"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20" fillId="25" borderId="15">
      <alignment horizontal="right"/>
      <protection/>
    </xf>
    <xf numFmtId="3" fontId="20" fillId="25" borderId="8">
      <alignment/>
      <protection/>
    </xf>
    <xf numFmtId="3" fontId="19" fillId="25" borderId="0">
      <alignment horizontal="right"/>
      <protection/>
    </xf>
    <xf numFmtId="3" fontId="19" fillId="25" borderId="16">
      <alignment/>
      <protection/>
    </xf>
    <xf numFmtId="0" fontId="20" fillId="25" borderId="0">
      <alignment horizontal="right"/>
      <protection/>
    </xf>
    <xf numFmtId="3" fontId="20" fillId="25" borderId="17">
      <alignment/>
      <protection/>
    </xf>
    <xf numFmtId="0" fontId="26" fillId="0" borderId="0" applyNumberFormat="0" applyFill="0" applyBorder="0" applyAlignment="0" applyProtection="0"/>
    <xf numFmtId="0" fontId="27" fillId="0" borderId="18" applyNumberFormat="0" applyFill="0" applyAlignment="0" applyProtection="0"/>
    <xf numFmtId="0" fontId="28" fillId="0" borderId="0" applyNumberFormat="0" applyFill="0" applyBorder="0" applyAlignment="0" applyProtection="0"/>
  </cellStyleXfs>
  <cellXfs count="313">
    <xf numFmtId="0" fontId="0" fillId="0" borderId="0" xfId="0" applyAlignment="1">
      <alignment/>
    </xf>
    <xf numFmtId="44" fontId="0" fillId="0" borderId="0" xfId="55" applyFont="1" applyAlignment="1">
      <alignment/>
    </xf>
    <xf numFmtId="44" fontId="0" fillId="0" borderId="0" xfId="0" applyNumberFormat="1" applyAlignment="1">
      <alignment/>
    </xf>
    <xf numFmtId="10" fontId="0" fillId="0" borderId="0" xfId="103" applyNumberFormat="1" applyFont="1" applyAlignment="1">
      <alignment/>
    </xf>
    <xf numFmtId="0" fontId="0" fillId="0" borderId="0" xfId="0" applyFill="1" applyAlignment="1">
      <alignment/>
    </xf>
    <xf numFmtId="0" fontId="3" fillId="0" borderId="0" xfId="0" applyFont="1" applyAlignment="1">
      <alignment/>
    </xf>
    <xf numFmtId="44" fontId="3" fillId="0" borderId="0" xfId="55" applyFont="1" applyAlignment="1">
      <alignment/>
    </xf>
    <xf numFmtId="2" fontId="0" fillId="0" borderId="0" xfId="0" applyNumberFormat="1" applyAlignment="1">
      <alignment/>
    </xf>
    <xf numFmtId="0" fontId="3" fillId="0" borderId="0" xfId="0" applyFont="1" applyAlignment="1">
      <alignment wrapText="1"/>
    </xf>
    <xf numFmtId="164" fontId="0" fillId="0" borderId="0" xfId="0" applyNumberFormat="1" applyAlignment="1">
      <alignment/>
    </xf>
    <xf numFmtId="0" fontId="0" fillId="0" borderId="0" xfId="0" applyBorder="1" applyAlignment="1">
      <alignment/>
    </xf>
    <xf numFmtId="44" fontId="3" fillId="0" borderId="19" xfId="55" applyFont="1" applyBorder="1" applyAlignment="1">
      <alignment/>
    </xf>
    <xf numFmtId="2" fontId="3" fillId="0" borderId="0" xfId="0" applyNumberFormat="1" applyFont="1" applyAlignment="1">
      <alignment/>
    </xf>
    <xf numFmtId="1" fontId="0" fillId="0" borderId="0" xfId="0" applyNumberFormat="1" applyAlignment="1">
      <alignment/>
    </xf>
    <xf numFmtId="0" fontId="3" fillId="0" borderId="20" xfId="0" applyFont="1" applyBorder="1" applyAlignment="1">
      <alignment/>
    </xf>
    <xf numFmtId="0" fontId="3" fillId="26" borderId="19" xfId="0" applyFont="1" applyFill="1" applyBorder="1" applyAlignment="1">
      <alignment/>
    </xf>
    <xf numFmtId="0" fontId="0" fillId="0" borderId="21" xfId="0" applyBorder="1" applyAlignment="1">
      <alignment/>
    </xf>
    <xf numFmtId="44" fontId="0" fillId="0" borderId="21" xfId="0" applyNumberFormat="1" applyBorder="1" applyAlignment="1">
      <alignment/>
    </xf>
    <xf numFmtId="164" fontId="0" fillId="0" borderId="21" xfId="0" applyNumberFormat="1" applyBorder="1" applyAlignment="1">
      <alignment/>
    </xf>
    <xf numFmtId="44" fontId="0" fillId="0" borderId="21" xfId="55" applyFont="1" applyBorder="1" applyAlignment="1">
      <alignment/>
    </xf>
    <xf numFmtId="0" fontId="0" fillId="0" borderId="22" xfId="0" applyBorder="1" applyAlignment="1">
      <alignment/>
    </xf>
    <xf numFmtId="44" fontId="0" fillId="0" borderId="22" xfId="0" applyNumberFormat="1" applyBorder="1" applyAlignment="1">
      <alignment/>
    </xf>
    <xf numFmtId="164" fontId="0" fillId="0" borderId="22" xfId="0" applyNumberFormat="1" applyBorder="1" applyAlignment="1">
      <alignment/>
    </xf>
    <xf numFmtId="44" fontId="0" fillId="0" borderId="22" xfId="55" applyFont="1" applyBorder="1" applyAlignment="1">
      <alignment/>
    </xf>
    <xf numFmtId="0" fontId="0" fillId="0" borderId="23" xfId="0" applyBorder="1" applyAlignment="1">
      <alignment/>
    </xf>
    <xf numFmtId="44" fontId="0" fillId="0" borderId="23" xfId="0" applyNumberFormat="1" applyBorder="1" applyAlignment="1">
      <alignment/>
    </xf>
    <xf numFmtId="164" fontId="0" fillId="0" borderId="23" xfId="0" applyNumberFormat="1" applyBorder="1" applyAlignment="1">
      <alignment/>
    </xf>
    <xf numFmtId="44" fontId="0" fillId="0" borderId="23" xfId="55" applyFont="1" applyBorder="1" applyAlignment="1">
      <alignment/>
    </xf>
    <xf numFmtId="0" fontId="3" fillId="0" borderId="23" xfId="0" applyFont="1" applyBorder="1" applyAlignment="1">
      <alignment/>
    </xf>
    <xf numFmtId="164" fontId="3" fillId="0" borderId="23" xfId="0" applyNumberFormat="1" applyFont="1" applyBorder="1" applyAlignment="1">
      <alignment/>
    </xf>
    <xf numFmtId="44" fontId="3" fillId="0" borderId="23" xfId="55" applyFont="1" applyBorder="1" applyAlignment="1">
      <alignment/>
    </xf>
    <xf numFmtId="0" fontId="3" fillId="0" borderId="24" xfId="0" applyFont="1" applyBorder="1" applyAlignment="1">
      <alignment/>
    </xf>
    <xf numFmtId="44" fontId="3" fillId="0" borderId="24" xfId="55" applyFont="1" applyBorder="1" applyAlignment="1">
      <alignment/>
    </xf>
    <xf numFmtId="10" fontId="0" fillId="0" borderId="22" xfId="103" applyNumberFormat="1" applyFont="1" applyBorder="1" applyAlignment="1">
      <alignment/>
    </xf>
    <xf numFmtId="44" fontId="3" fillId="0" borderId="25" xfId="55" applyFont="1" applyBorder="1" applyAlignment="1">
      <alignment/>
    </xf>
    <xf numFmtId="0" fontId="3" fillId="27" borderId="26" xfId="0" applyFont="1" applyFill="1" applyBorder="1" applyAlignment="1">
      <alignment wrapText="1"/>
    </xf>
    <xf numFmtId="0" fontId="3" fillId="27" borderId="27" xfId="0" applyFont="1" applyFill="1" applyBorder="1" applyAlignment="1">
      <alignment wrapText="1"/>
    </xf>
    <xf numFmtId="0" fontId="3" fillId="27" borderId="28" xfId="0" applyFont="1" applyFill="1" applyBorder="1" applyAlignment="1">
      <alignment wrapText="1"/>
    </xf>
    <xf numFmtId="44" fontId="3" fillId="4" borderId="25" xfId="55" applyFont="1" applyFill="1" applyBorder="1" applyAlignment="1">
      <alignment/>
    </xf>
    <xf numFmtId="44" fontId="0" fillId="4" borderId="25" xfId="55" applyFont="1" applyFill="1" applyBorder="1" applyAlignment="1">
      <alignment/>
    </xf>
    <xf numFmtId="0" fontId="0" fillId="20" borderId="24" xfId="0" applyFill="1" applyBorder="1" applyAlignment="1">
      <alignment/>
    </xf>
    <xf numFmtId="0" fontId="3" fillId="20" borderId="24" xfId="0" applyFont="1" applyFill="1" applyBorder="1" applyAlignment="1">
      <alignment/>
    </xf>
    <xf numFmtId="0" fontId="3" fillId="26" borderId="29" xfId="0" applyFont="1" applyFill="1" applyBorder="1" applyAlignment="1">
      <alignment/>
    </xf>
    <xf numFmtId="0" fontId="3" fillId="26" borderId="30" xfId="0" applyFont="1" applyFill="1" applyBorder="1" applyAlignment="1">
      <alignment/>
    </xf>
    <xf numFmtId="44" fontId="3" fillId="26" borderId="31" xfId="55" applyFont="1" applyFill="1" applyBorder="1" applyAlignment="1">
      <alignment/>
    </xf>
    <xf numFmtId="44" fontId="3" fillId="0" borderId="32" xfId="55" applyFont="1" applyBorder="1" applyAlignment="1">
      <alignment/>
    </xf>
    <xf numFmtId="164" fontId="0" fillId="0" borderId="24" xfId="0" applyNumberFormat="1" applyBorder="1" applyAlignment="1">
      <alignment/>
    </xf>
    <xf numFmtId="0" fontId="0" fillId="0" borderId="0" xfId="0" applyAlignment="1">
      <alignment horizontal="left"/>
    </xf>
    <xf numFmtId="0" fontId="0" fillId="0" borderId="0" xfId="15">
      <alignment/>
      <protection/>
    </xf>
    <xf numFmtId="0" fontId="30" fillId="0" borderId="0" xfId="15" applyFont="1" applyAlignment="1">
      <alignment horizontal="left"/>
      <protection/>
    </xf>
    <xf numFmtId="0" fontId="3" fillId="0" borderId="0" xfId="15" applyFont="1">
      <alignment/>
      <protection/>
    </xf>
    <xf numFmtId="0" fontId="0" fillId="0" borderId="0" xfId="15" applyFont="1">
      <alignment/>
      <protection/>
    </xf>
    <xf numFmtId="0" fontId="29" fillId="0" borderId="0" xfId="15" applyFont="1">
      <alignment/>
      <protection/>
    </xf>
    <xf numFmtId="44" fontId="0" fillId="0" borderId="0" xfId="55" applyAlignment="1">
      <alignment/>
    </xf>
    <xf numFmtId="44" fontId="0" fillId="26" borderId="19" xfId="55" applyFill="1" applyBorder="1" applyAlignment="1">
      <alignment/>
    </xf>
    <xf numFmtId="165" fontId="0" fillId="26" borderId="19" xfId="55" applyNumberFormat="1" applyFill="1" applyBorder="1" applyAlignment="1">
      <alignment/>
    </xf>
    <xf numFmtId="44" fontId="0" fillId="0" borderId="24" xfId="55" applyBorder="1" applyAlignment="1">
      <alignment/>
    </xf>
    <xf numFmtId="0" fontId="3" fillId="0" borderId="0" xfId="15" applyFont="1" applyAlignment="1">
      <alignment horizontal="left"/>
      <protection/>
    </xf>
    <xf numFmtId="44" fontId="31" fillId="0" borderId="19" xfId="55" applyFont="1" applyBorder="1" applyAlignment="1">
      <alignment/>
    </xf>
    <xf numFmtId="0" fontId="3" fillId="0" borderId="29" xfId="15" applyFont="1" applyBorder="1">
      <alignment/>
      <protection/>
    </xf>
    <xf numFmtId="0" fontId="3" fillId="0" borderId="30" xfId="15" applyFont="1" applyBorder="1">
      <alignment/>
      <protection/>
    </xf>
    <xf numFmtId="0" fontId="3" fillId="20" borderId="24" xfId="0" applyFont="1" applyFill="1" applyBorder="1" applyAlignment="1">
      <alignment horizontal="left"/>
    </xf>
    <xf numFmtId="0" fontId="0" fillId="0" borderId="24" xfId="0" applyBorder="1" applyAlignment="1">
      <alignment horizontal="left" wrapText="1"/>
    </xf>
    <xf numFmtId="0" fontId="0" fillId="0" borderId="0" xfId="0" applyAlignment="1">
      <alignment horizontal="left" wrapText="1"/>
    </xf>
    <xf numFmtId="165" fontId="0" fillId="0" borderId="24" xfId="0" applyNumberFormat="1" applyBorder="1" applyAlignment="1">
      <alignment horizontal="left" wrapText="1"/>
    </xf>
    <xf numFmtId="0" fontId="0" fillId="0" borderId="0" xfId="0" applyAlignment="1">
      <alignment vertical="top"/>
    </xf>
    <xf numFmtId="0" fontId="3" fillId="0" borderId="0" xfId="0" applyFont="1" applyAlignment="1">
      <alignment vertical="top"/>
    </xf>
    <xf numFmtId="0" fontId="3" fillId="0" borderId="33" xfId="0" applyFont="1" applyBorder="1" applyAlignment="1">
      <alignment vertical="top"/>
    </xf>
    <xf numFmtId="0" fontId="3" fillId="0" borderId="34" xfId="0" applyFont="1" applyBorder="1" applyAlignment="1">
      <alignment vertical="top" wrapText="1"/>
    </xf>
    <xf numFmtId="0" fontId="3" fillId="0" borderId="35" xfId="0" applyFont="1" applyBorder="1" applyAlignment="1">
      <alignment vertical="top"/>
    </xf>
    <xf numFmtId="0" fontId="3" fillId="0" borderId="36" xfId="0" applyFont="1" applyBorder="1" applyAlignment="1">
      <alignment vertical="top" wrapText="1"/>
    </xf>
    <xf numFmtId="167" fontId="3" fillId="0" borderId="37" xfId="55" applyNumberFormat="1" applyFont="1" applyBorder="1" applyAlignment="1">
      <alignment/>
    </xf>
    <xf numFmtId="0" fontId="0" fillId="0" borderId="0" xfId="0" applyFill="1" applyBorder="1" applyAlignment="1">
      <alignment/>
    </xf>
    <xf numFmtId="0" fontId="32" fillId="0" borderId="0" xfId="15" applyFont="1" applyFill="1" applyBorder="1">
      <alignment/>
      <protection/>
    </xf>
    <xf numFmtId="0" fontId="32" fillId="0" borderId="0" xfId="15" applyFont="1" applyBorder="1">
      <alignment/>
      <protection/>
    </xf>
    <xf numFmtId="0" fontId="0" fillId="0" borderId="0" xfId="0" applyBorder="1" applyAlignment="1">
      <alignment vertical="top"/>
    </xf>
    <xf numFmtId="1" fontId="33" fillId="0" borderId="0" xfId="0" applyNumberFormat="1" applyFont="1" applyAlignment="1">
      <alignment/>
    </xf>
    <xf numFmtId="0" fontId="33" fillId="0" borderId="0" xfId="15" applyFont="1" applyAlignment="1">
      <alignment horizontal="left"/>
      <protection/>
    </xf>
    <xf numFmtId="0" fontId="33" fillId="0" borderId="0" xfId="0" applyFont="1" applyAlignment="1">
      <alignment/>
    </xf>
    <xf numFmtId="0" fontId="0" fillId="0" borderId="0" xfId="0" applyFont="1" applyBorder="1" applyAlignment="1">
      <alignment/>
    </xf>
    <xf numFmtId="1" fontId="0" fillId="0" borderId="22" xfId="0" applyNumberFormat="1" applyBorder="1" applyAlignment="1">
      <alignment/>
    </xf>
    <xf numFmtId="0" fontId="31" fillId="0" borderId="0" xfId="0" applyFont="1" applyAlignment="1">
      <alignment vertical="top"/>
    </xf>
    <xf numFmtId="0" fontId="3" fillId="26" borderId="28" xfId="0" applyFont="1" applyFill="1" applyBorder="1" applyAlignment="1">
      <alignment wrapText="1"/>
    </xf>
    <xf numFmtId="2" fontId="3" fillId="20" borderId="26" xfId="0" applyNumberFormat="1" applyFont="1" applyFill="1" applyBorder="1" applyAlignment="1">
      <alignment wrapText="1"/>
    </xf>
    <xf numFmtId="8" fontId="3" fillId="4" borderId="37" xfId="55" applyNumberFormat="1" applyFont="1" applyFill="1" applyBorder="1" applyAlignment="1">
      <alignment/>
    </xf>
    <xf numFmtId="0" fontId="0" fillId="0" borderId="38" xfId="0" applyBorder="1" applyAlignment="1">
      <alignment/>
    </xf>
    <xf numFmtId="0" fontId="0" fillId="0" borderId="39" xfId="0" applyBorder="1" applyAlignment="1">
      <alignment/>
    </xf>
    <xf numFmtId="0" fontId="34" fillId="0" borderId="0" xfId="0" applyFont="1" applyAlignment="1">
      <alignment/>
    </xf>
    <xf numFmtId="0" fontId="0" fillId="0" borderId="40" xfId="0" applyBorder="1" applyAlignment="1">
      <alignment/>
    </xf>
    <xf numFmtId="0" fontId="0" fillId="0" borderId="0" xfId="0" applyFont="1" applyBorder="1" applyAlignment="1">
      <alignment/>
    </xf>
    <xf numFmtId="0" fontId="3" fillId="28" borderId="37" xfId="0" applyFont="1" applyFill="1" applyBorder="1" applyAlignment="1">
      <alignment wrapText="1"/>
    </xf>
    <xf numFmtId="0" fontId="3" fillId="28" borderId="25" xfId="0" applyFont="1" applyFill="1" applyBorder="1" applyAlignment="1">
      <alignment wrapText="1"/>
    </xf>
    <xf numFmtId="0" fontId="3" fillId="28" borderId="32" xfId="0" applyFont="1" applyFill="1" applyBorder="1" applyAlignment="1">
      <alignment wrapText="1"/>
    </xf>
    <xf numFmtId="0" fontId="0" fillId="0" borderId="0" xfId="0" applyFont="1" applyFill="1" applyBorder="1" applyAlignment="1">
      <alignment/>
    </xf>
    <xf numFmtId="0" fontId="0" fillId="0" borderId="24" xfId="0" applyBorder="1" applyAlignment="1">
      <alignment horizontal="left"/>
    </xf>
    <xf numFmtId="0" fontId="0" fillId="0" borderId="0" xfId="0" applyBorder="1" applyAlignment="1">
      <alignment wrapText="1"/>
    </xf>
    <xf numFmtId="0" fontId="0" fillId="0" borderId="9" xfId="0" applyBorder="1" applyAlignment="1">
      <alignment/>
    </xf>
    <xf numFmtId="0" fontId="0" fillId="0" borderId="41" xfId="0" applyBorder="1" applyAlignment="1">
      <alignment/>
    </xf>
    <xf numFmtId="0" fontId="0" fillId="0" borderId="14" xfId="0" applyBorder="1" applyAlignment="1">
      <alignment/>
    </xf>
    <xf numFmtId="0" fontId="0" fillId="0" borderId="14" xfId="0" applyFill="1" applyBorder="1" applyAlignment="1">
      <alignment/>
    </xf>
    <xf numFmtId="0" fontId="0" fillId="0" borderId="42" xfId="0" applyBorder="1" applyAlignment="1">
      <alignment/>
    </xf>
    <xf numFmtId="0" fontId="3" fillId="0" borderId="43" xfId="0" applyFont="1" applyBorder="1" applyAlignment="1">
      <alignment vertical="top"/>
    </xf>
    <xf numFmtId="0" fontId="0" fillId="0" borderId="22" xfId="0" applyFont="1" applyBorder="1" applyAlignment="1">
      <alignment/>
    </xf>
    <xf numFmtId="44" fontId="0" fillId="0" borderId="0" xfId="55" applyFont="1" applyBorder="1" applyAlignment="1">
      <alignment/>
    </xf>
    <xf numFmtId="0" fontId="0" fillId="0" borderId="23" xfId="0" applyFont="1" applyBorder="1" applyAlignment="1">
      <alignment/>
    </xf>
    <xf numFmtId="0" fontId="44" fillId="0" borderId="0" xfId="0" applyFont="1" applyBorder="1" applyAlignment="1">
      <alignment/>
    </xf>
    <xf numFmtId="0" fontId="45" fillId="0" borderId="0" xfId="0" applyFont="1" applyBorder="1" applyAlignment="1">
      <alignment/>
    </xf>
    <xf numFmtId="0" fontId="46" fillId="0" borderId="0" xfId="0" applyFont="1" applyBorder="1" applyAlignment="1">
      <alignment/>
    </xf>
    <xf numFmtId="44" fontId="46" fillId="0" borderId="0" xfId="55" applyFont="1" applyBorder="1" applyAlignment="1">
      <alignment/>
    </xf>
    <xf numFmtId="0" fontId="0" fillId="0" borderId="44" xfId="0" applyBorder="1" applyAlignment="1">
      <alignment/>
    </xf>
    <xf numFmtId="0" fontId="0" fillId="0" borderId="45" xfId="0" applyBorder="1" applyAlignment="1">
      <alignment/>
    </xf>
    <xf numFmtId="0" fontId="46" fillId="0" borderId="46" xfId="0" applyFont="1" applyBorder="1" applyAlignment="1">
      <alignment/>
    </xf>
    <xf numFmtId="0" fontId="46" fillId="0" borderId="41" xfId="0" applyFont="1" applyBorder="1" applyAlignment="1">
      <alignment/>
    </xf>
    <xf numFmtId="9" fontId="0" fillId="0" borderId="46" xfId="0" applyNumberFormat="1" applyBorder="1" applyAlignment="1">
      <alignment/>
    </xf>
    <xf numFmtId="44" fontId="0" fillId="0" borderId="9" xfId="55" applyFont="1" applyBorder="1" applyAlignment="1">
      <alignment/>
    </xf>
    <xf numFmtId="44" fontId="0" fillId="0" borderId="42" xfId="55" applyFont="1" applyBorder="1" applyAlignment="1">
      <alignment/>
    </xf>
    <xf numFmtId="0" fontId="0" fillId="0" borderId="44" xfId="0" applyBorder="1" applyAlignment="1">
      <alignment wrapText="1"/>
    </xf>
    <xf numFmtId="0" fontId="0" fillId="0" borderId="45" xfId="0" applyBorder="1" applyAlignment="1">
      <alignment wrapText="1"/>
    </xf>
    <xf numFmtId="0" fontId="0" fillId="0" borderId="24" xfId="0" applyBorder="1" applyAlignment="1">
      <alignment wrapText="1"/>
    </xf>
    <xf numFmtId="0" fontId="46" fillId="0" borderId="24" xfId="0" applyFont="1" applyBorder="1" applyAlignment="1">
      <alignment wrapText="1"/>
    </xf>
    <xf numFmtId="0" fontId="46" fillId="0" borderId="0" xfId="0" applyFont="1" applyBorder="1" applyAlignment="1">
      <alignment wrapText="1"/>
    </xf>
    <xf numFmtId="44" fontId="46" fillId="0" borderId="24" xfId="55" applyFont="1" applyBorder="1" applyAlignment="1">
      <alignment wrapText="1"/>
    </xf>
    <xf numFmtId="0" fontId="45" fillId="0" borderId="22" xfId="0" applyFont="1" applyBorder="1" applyAlignment="1">
      <alignment/>
    </xf>
    <xf numFmtId="0" fontId="46" fillId="0" borderId="22" xfId="0" applyFont="1" applyBorder="1" applyAlignment="1">
      <alignment/>
    </xf>
    <xf numFmtId="44" fontId="0" fillId="0" borderId="40" xfId="0" applyNumberFormat="1" applyFont="1" applyBorder="1" applyAlignment="1">
      <alignment/>
    </xf>
    <xf numFmtId="44" fontId="46" fillId="0" borderId="22" xfId="0" applyNumberFormat="1" applyFont="1" applyBorder="1" applyAlignment="1">
      <alignment/>
    </xf>
    <xf numFmtId="44" fontId="46" fillId="0" borderId="22" xfId="55" applyFont="1" applyBorder="1" applyAlignment="1">
      <alignment/>
    </xf>
    <xf numFmtId="0" fontId="0" fillId="0" borderId="40" xfId="0" applyFont="1" applyBorder="1" applyAlignment="1">
      <alignment/>
    </xf>
    <xf numFmtId="0" fontId="0" fillId="0" borderId="40" xfId="0" applyBorder="1" applyAlignment="1">
      <alignment horizontal="left"/>
    </xf>
    <xf numFmtId="0" fontId="0" fillId="0" borderId="0" xfId="0" applyBorder="1" applyAlignment="1">
      <alignment horizontal="left"/>
    </xf>
    <xf numFmtId="0" fontId="46" fillId="0" borderId="40" xfId="0" applyFont="1" applyBorder="1" applyAlignment="1">
      <alignment horizontal="left"/>
    </xf>
    <xf numFmtId="0" fontId="46" fillId="0" borderId="14" xfId="0" applyFont="1" applyFill="1" applyBorder="1" applyAlignment="1">
      <alignment/>
    </xf>
    <xf numFmtId="0" fontId="46" fillId="0" borderId="0" xfId="0" applyFont="1" applyFill="1" applyBorder="1" applyAlignment="1">
      <alignment/>
    </xf>
    <xf numFmtId="0" fontId="46" fillId="0" borderId="40" xfId="0" applyFont="1" applyBorder="1" applyAlignment="1">
      <alignment/>
    </xf>
    <xf numFmtId="1" fontId="46" fillId="0" borderId="22" xfId="0" applyNumberFormat="1" applyFont="1" applyBorder="1" applyAlignment="1">
      <alignment/>
    </xf>
    <xf numFmtId="0" fontId="0" fillId="0" borderId="47" xfId="0" applyBorder="1" applyAlignment="1">
      <alignment horizontal="left"/>
    </xf>
    <xf numFmtId="0" fontId="0" fillId="0" borderId="42" xfId="0" applyFill="1" applyBorder="1" applyAlignment="1">
      <alignment/>
    </xf>
    <xf numFmtId="0" fontId="45" fillId="0" borderId="23" xfId="0" applyFont="1" applyBorder="1" applyAlignment="1">
      <alignment/>
    </xf>
    <xf numFmtId="0" fontId="46" fillId="0" borderId="23" xfId="0" applyFont="1" applyBorder="1" applyAlignment="1">
      <alignment/>
    </xf>
    <xf numFmtId="0" fontId="0" fillId="0" borderId="47" xfId="0" applyFont="1" applyBorder="1" applyAlignment="1">
      <alignment/>
    </xf>
    <xf numFmtId="1" fontId="0" fillId="0" borderId="23" xfId="0" applyNumberFormat="1" applyBorder="1" applyAlignment="1">
      <alignment/>
    </xf>
    <xf numFmtId="44" fontId="46" fillId="0" borderId="23" xfId="0" applyNumberFormat="1" applyFont="1" applyBorder="1" applyAlignment="1">
      <alignment/>
    </xf>
    <xf numFmtId="44" fontId="46" fillId="0" borderId="23" xfId="55" applyFont="1" applyBorder="1" applyAlignment="1">
      <alignment/>
    </xf>
    <xf numFmtId="0" fontId="0" fillId="0" borderId="0" xfId="0" applyFont="1" applyBorder="1" applyAlignment="1">
      <alignment/>
    </xf>
    <xf numFmtId="1" fontId="0" fillId="0" borderId="0" xfId="0" applyNumberFormat="1" applyBorder="1" applyAlignment="1">
      <alignment/>
    </xf>
    <xf numFmtId="44" fontId="0" fillId="0" borderId="0" xfId="0" applyNumberFormat="1" applyBorder="1" applyAlignment="1">
      <alignment/>
    </xf>
    <xf numFmtId="44" fontId="46" fillId="0" borderId="0" xfId="0" applyNumberFormat="1" applyFont="1" applyBorder="1" applyAlignment="1">
      <alignment/>
    </xf>
    <xf numFmtId="44" fontId="46" fillId="0" borderId="0" xfId="0" applyNumberFormat="1" applyFont="1" applyFill="1" applyBorder="1" applyAlignment="1">
      <alignment/>
    </xf>
    <xf numFmtId="0" fontId="0" fillId="0" borderId="21" xfId="0" applyFont="1" applyBorder="1" applyAlignment="1">
      <alignment/>
    </xf>
    <xf numFmtId="0" fontId="3" fillId="0" borderId="48" xfId="0" applyFont="1" applyBorder="1" applyAlignment="1">
      <alignment vertical="top"/>
    </xf>
    <xf numFmtId="0" fontId="3" fillId="0" borderId="49" xfId="0" applyFont="1" applyBorder="1" applyAlignment="1">
      <alignment vertical="top" wrapText="1"/>
    </xf>
    <xf numFmtId="44" fontId="0" fillId="0" borderId="24" xfId="103" applyNumberFormat="1" applyFont="1" applyBorder="1" applyAlignment="1">
      <alignment/>
    </xf>
    <xf numFmtId="0" fontId="0" fillId="0" borderId="24" xfId="0" applyFont="1" applyFill="1" applyBorder="1" applyAlignment="1">
      <alignment/>
    </xf>
    <xf numFmtId="44" fontId="0" fillId="0" borderId="17" xfId="55" applyFont="1" applyBorder="1" applyAlignment="1">
      <alignment/>
    </xf>
    <xf numFmtId="0" fontId="0" fillId="0" borderId="0" xfId="0" applyAlignment="1">
      <alignment horizontal="center"/>
    </xf>
    <xf numFmtId="0" fontId="0" fillId="0" borderId="0" xfId="0" applyFont="1" applyAlignment="1">
      <alignment vertical="top"/>
    </xf>
    <xf numFmtId="44" fontId="0" fillId="0" borderId="0" xfId="55" applyFont="1" applyAlignment="1">
      <alignment/>
    </xf>
    <xf numFmtId="0" fontId="0" fillId="0" borderId="0" xfId="0" applyFont="1" applyAlignment="1">
      <alignment/>
    </xf>
    <xf numFmtId="10" fontId="2" fillId="0" borderId="0" xfId="103" applyNumberFormat="1" applyFont="1" applyFill="1" applyAlignment="1" applyProtection="1">
      <alignment/>
      <protection/>
    </xf>
    <xf numFmtId="0" fontId="0" fillId="0" borderId="0" xfId="0" applyNumberFormat="1" applyBorder="1" applyAlignment="1">
      <alignment/>
    </xf>
    <xf numFmtId="0" fontId="47" fillId="0" borderId="50" xfId="0" applyFont="1" applyBorder="1" applyAlignment="1">
      <alignment vertical="top" wrapText="1"/>
    </xf>
    <xf numFmtId="0" fontId="0" fillId="0" borderId="50" xfId="0" applyFont="1" applyFill="1" applyBorder="1" applyAlignment="1">
      <alignment vertical="top" wrapText="1"/>
    </xf>
    <xf numFmtId="0" fontId="3" fillId="0" borderId="34" xfId="0" applyFont="1" applyFill="1" applyBorder="1" applyAlignment="1">
      <alignment vertical="top" wrapText="1"/>
    </xf>
    <xf numFmtId="0" fontId="3" fillId="0" borderId="36" xfId="0" applyFont="1" applyFill="1" applyBorder="1" applyAlignment="1">
      <alignment vertical="top" wrapText="1"/>
    </xf>
    <xf numFmtId="3" fontId="0" fillId="0" borderId="22" xfId="0" applyNumberFormat="1" applyFont="1" applyBorder="1" applyAlignment="1">
      <alignment/>
    </xf>
    <xf numFmtId="3" fontId="0" fillId="0" borderId="22" xfId="0" applyNumberFormat="1" applyFill="1" applyBorder="1" applyAlignment="1">
      <alignment/>
    </xf>
    <xf numFmtId="0" fontId="0" fillId="0" borderId="0" xfId="0" applyFont="1" applyBorder="1" applyAlignment="1">
      <alignment vertical="top"/>
    </xf>
    <xf numFmtId="0" fontId="0" fillId="0" borderId="40" xfId="0" applyFont="1" applyBorder="1" applyAlignment="1">
      <alignment/>
    </xf>
    <xf numFmtId="3" fontId="46" fillId="0" borderId="22" xfId="0" applyNumberFormat="1" applyFont="1" applyBorder="1" applyAlignment="1">
      <alignment/>
    </xf>
    <xf numFmtId="0" fontId="0" fillId="0" borderId="22" xfId="0" applyNumberFormat="1" applyBorder="1" applyAlignment="1">
      <alignment/>
    </xf>
    <xf numFmtId="0" fontId="0" fillId="0" borderId="44" xfId="0" applyFont="1" applyBorder="1" applyAlignment="1">
      <alignment wrapText="1"/>
    </xf>
    <xf numFmtId="0" fontId="0" fillId="0" borderId="24" xfId="0" applyFont="1" applyBorder="1" applyAlignment="1">
      <alignment wrapText="1"/>
    </xf>
    <xf numFmtId="44" fontId="0" fillId="0" borderId="24" xfId="55" applyFont="1" applyBorder="1" applyAlignment="1">
      <alignment wrapText="1"/>
    </xf>
    <xf numFmtId="44" fontId="0" fillId="0" borderId="24" xfId="55" applyFill="1" applyBorder="1" applyAlignment="1">
      <alignment/>
    </xf>
    <xf numFmtId="0" fontId="0" fillId="0" borderId="40" xfId="0" applyFont="1" applyBorder="1" applyAlignment="1">
      <alignment horizontal="left"/>
    </xf>
    <xf numFmtId="167" fontId="3" fillId="0" borderId="29" xfId="55" applyNumberFormat="1" applyFont="1" applyBorder="1" applyAlignment="1">
      <alignment/>
    </xf>
    <xf numFmtId="167" fontId="3" fillId="0" borderId="32" xfId="55" applyNumberFormat="1" applyFont="1" applyBorder="1" applyAlignment="1">
      <alignment/>
    </xf>
    <xf numFmtId="167" fontId="3" fillId="0" borderId="51" xfId="55" applyNumberFormat="1" applyFont="1" applyBorder="1" applyAlignment="1">
      <alignment/>
    </xf>
    <xf numFmtId="167" fontId="3" fillId="0" borderId="25" xfId="55" applyNumberFormat="1" applyFont="1" applyBorder="1" applyAlignment="1">
      <alignment/>
    </xf>
    <xf numFmtId="167" fontId="3" fillId="0" borderId="30" xfId="55" applyNumberFormat="1" applyFont="1" applyBorder="1" applyAlignment="1">
      <alignment/>
    </xf>
    <xf numFmtId="44" fontId="3" fillId="0" borderId="51" xfId="55" applyFont="1" applyBorder="1" applyAlignment="1">
      <alignment/>
    </xf>
    <xf numFmtId="44" fontId="3" fillId="0" borderId="29" xfId="55" applyFont="1" applyBorder="1" applyAlignment="1">
      <alignment/>
    </xf>
    <xf numFmtId="44" fontId="3" fillId="0" borderId="31" xfId="55" applyFont="1" applyBorder="1" applyAlignment="1">
      <alignment/>
    </xf>
    <xf numFmtId="0" fontId="3" fillId="0" borderId="29" xfId="0" applyFont="1" applyBorder="1" applyAlignment="1">
      <alignment vertical="top"/>
    </xf>
    <xf numFmtId="0" fontId="3" fillId="0" borderId="31" xfId="0" applyFont="1" applyBorder="1" applyAlignment="1">
      <alignment vertical="top" wrapText="1"/>
    </xf>
    <xf numFmtId="0" fontId="0" fillId="0" borderId="31" xfId="0" applyBorder="1" applyAlignment="1">
      <alignment vertical="top"/>
    </xf>
    <xf numFmtId="0" fontId="0" fillId="0" borderId="0" xfId="0" applyNumberFormat="1" applyFill="1" applyBorder="1" applyAlignment="1">
      <alignment/>
    </xf>
    <xf numFmtId="0" fontId="0" fillId="0" borderId="24" xfId="0" applyFont="1" applyBorder="1" applyAlignment="1">
      <alignment/>
    </xf>
    <xf numFmtId="44" fontId="0" fillId="0" borderId="24" xfId="55" applyFont="1" applyBorder="1" applyAlignment="1">
      <alignment/>
    </xf>
    <xf numFmtId="4" fontId="39" fillId="0" borderId="24" xfId="0" applyNumberFormat="1" applyFont="1" applyFill="1" applyBorder="1" applyAlignment="1" applyProtection="1">
      <alignment horizontal="right"/>
      <protection/>
    </xf>
    <xf numFmtId="44" fontId="0" fillId="0" borderId="24" xfId="55" applyNumberFormat="1" applyFont="1" applyBorder="1" applyAlignment="1">
      <alignment/>
    </xf>
    <xf numFmtId="170" fontId="39" fillId="0" borderId="24" xfId="0" applyNumberFormat="1" applyFont="1" applyFill="1" applyBorder="1" applyAlignment="1" applyProtection="1">
      <alignment horizontal="right"/>
      <protection locked="0"/>
    </xf>
    <xf numFmtId="0" fontId="0" fillId="0" borderId="41" xfId="0" applyFont="1" applyBorder="1" applyAlignment="1">
      <alignment/>
    </xf>
    <xf numFmtId="44" fontId="0" fillId="0" borderId="46" xfId="55" applyFont="1" applyBorder="1" applyAlignment="1">
      <alignment/>
    </xf>
    <xf numFmtId="44" fontId="0" fillId="0" borderId="14" xfId="55" applyFont="1" applyBorder="1" applyAlignment="1">
      <alignment/>
    </xf>
    <xf numFmtId="0" fontId="0" fillId="0" borderId="47" xfId="0" applyFont="1" applyBorder="1" applyAlignment="1">
      <alignment/>
    </xf>
    <xf numFmtId="0" fontId="0" fillId="0" borderId="24" xfId="0" applyBorder="1" applyAlignment="1">
      <alignment/>
    </xf>
    <xf numFmtId="0" fontId="0" fillId="0" borderId="46" xfId="0"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3" fillId="0" borderId="52" xfId="0" applyFont="1" applyBorder="1" applyAlignment="1">
      <alignment vertical="top"/>
    </xf>
    <xf numFmtId="9" fontId="0" fillId="0" borderId="0" xfId="0" applyNumberFormat="1" applyBorder="1" applyAlignment="1">
      <alignment/>
    </xf>
    <xf numFmtId="44" fontId="3" fillId="0" borderId="37" xfId="0" applyNumberFormat="1" applyFont="1" applyBorder="1" applyAlignment="1">
      <alignment/>
    </xf>
    <xf numFmtId="44" fontId="3" fillId="0" borderId="25" xfId="0" applyNumberFormat="1" applyFont="1" applyBorder="1" applyAlignment="1">
      <alignment/>
    </xf>
    <xf numFmtId="44" fontId="3" fillId="0" borderId="32" xfId="0" applyNumberFormat="1" applyFont="1" applyBorder="1" applyAlignment="1">
      <alignment/>
    </xf>
    <xf numFmtId="44" fontId="3" fillId="29" borderId="37" xfId="55" applyFont="1" applyFill="1" applyBorder="1" applyAlignment="1">
      <alignment wrapText="1"/>
    </xf>
    <xf numFmtId="0" fontId="3" fillId="29" borderId="25" xfId="0" applyFont="1" applyFill="1" applyBorder="1" applyAlignment="1">
      <alignment wrapText="1"/>
    </xf>
    <xf numFmtId="44" fontId="3" fillId="29" borderId="25" xfId="55" applyFont="1" applyFill="1" applyBorder="1" applyAlignment="1">
      <alignment wrapText="1"/>
    </xf>
    <xf numFmtId="0" fontId="3" fillId="29" borderId="32" xfId="0" applyFont="1" applyFill="1" applyBorder="1" applyAlignment="1">
      <alignment wrapText="1"/>
    </xf>
    <xf numFmtId="0" fontId="3" fillId="0" borderId="53" xfId="0" applyFont="1" applyBorder="1" applyAlignment="1">
      <alignment vertical="top"/>
    </xf>
    <xf numFmtId="0" fontId="0" fillId="0" borderId="54" xfId="0" applyBorder="1" applyAlignment="1">
      <alignment vertical="top"/>
    </xf>
    <xf numFmtId="0" fontId="0" fillId="0" borderId="50" xfId="0" applyFont="1" applyBorder="1" applyAlignment="1">
      <alignment vertical="top" wrapText="1"/>
    </xf>
    <xf numFmtId="0" fontId="0" fillId="0" borderId="34" xfId="0" applyFont="1" applyBorder="1" applyAlignment="1">
      <alignment vertical="top" wrapText="1"/>
    </xf>
    <xf numFmtId="0" fontId="3" fillId="0" borderId="33" xfId="0" applyFont="1" applyBorder="1" applyAlignment="1">
      <alignment horizontal="right" vertical="top"/>
    </xf>
    <xf numFmtId="171" fontId="0" fillId="30" borderId="19" xfId="15" applyNumberFormat="1" applyFill="1" applyBorder="1">
      <alignment/>
      <protection/>
    </xf>
    <xf numFmtId="44" fontId="3" fillId="0" borderId="30" xfId="55" applyFont="1" applyBorder="1" applyAlignment="1">
      <alignment/>
    </xf>
    <xf numFmtId="0" fontId="0" fillId="0" borderId="47" xfId="0" applyBorder="1" applyAlignment="1">
      <alignment/>
    </xf>
    <xf numFmtId="0" fontId="32" fillId="0" borderId="24" xfId="15" applyFont="1" applyBorder="1">
      <alignment/>
      <protection/>
    </xf>
    <xf numFmtId="44" fontId="0" fillId="0" borderId="24" xfId="0" applyNumberFormat="1" applyFill="1" applyBorder="1" applyAlignment="1">
      <alignment/>
    </xf>
    <xf numFmtId="10" fontId="0" fillId="0" borderId="24" xfId="103" applyNumberFormat="1" applyFont="1" applyBorder="1" applyAlignment="1">
      <alignment/>
    </xf>
    <xf numFmtId="10" fontId="0" fillId="0" borderId="24" xfId="103" applyNumberFormat="1" applyFont="1" applyBorder="1" applyAlignment="1">
      <alignment/>
    </xf>
    <xf numFmtId="0" fontId="32" fillId="0" borderId="24" xfId="15" applyFont="1" applyFill="1" applyBorder="1">
      <alignment/>
      <protection/>
    </xf>
    <xf numFmtId="0" fontId="0" fillId="0" borderId="24" xfId="0" applyFill="1" applyBorder="1" applyAlignment="1">
      <alignment/>
    </xf>
    <xf numFmtId="0" fontId="0" fillId="0" borderId="24" xfId="0" applyFont="1" applyFill="1" applyBorder="1" applyAlignment="1">
      <alignment/>
    </xf>
    <xf numFmtId="44" fontId="0" fillId="0" borderId="24" xfId="0" applyNumberFormat="1" applyBorder="1" applyAlignment="1">
      <alignment/>
    </xf>
    <xf numFmtId="44" fontId="0" fillId="0" borderId="24" xfId="55" applyFont="1" applyFill="1" applyBorder="1" applyAlignment="1">
      <alignment/>
    </xf>
    <xf numFmtId="172" fontId="0" fillId="0" borderId="24" xfId="55" applyNumberFormat="1" applyFont="1" applyBorder="1" applyAlignment="1">
      <alignment/>
    </xf>
    <xf numFmtId="44" fontId="0" fillId="0" borderId="50" xfId="0" applyNumberFormat="1" applyBorder="1" applyAlignment="1">
      <alignment/>
    </xf>
    <xf numFmtId="44" fontId="0" fillId="0" borderId="33" xfId="55" applyFont="1" applyBorder="1" applyAlignment="1">
      <alignment/>
    </xf>
    <xf numFmtId="44" fontId="0" fillId="0" borderId="34" xfId="0" applyNumberFormat="1" applyBorder="1" applyAlignment="1">
      <alignment/>
    </xf>
    <xf numFmtId="44" fontId="0" fillId="0" borderId="35" xfId="55" applyFont="1" applyBorder="1" applyAlignment="1">
      <alignment/>
    </xf>
    <xf numFmtId="44" fontId="0" fillId="0" borderId="55" xfId="55" applyFont="1" applyBorder="1" applyAlignment="1">
      <alignment/>
    </xf>
    <xf numFmtId="44" fontId="0" fillId="0" borderId="36" xfId="0" applyNumberFormat="1" applyBorder="1" applyAlignment="1">
      <alignment/>
    </xf>
    <xf numFmtId="44" fontId="0" fillId="0" borderId="43" xfId="0" applyNumberFormat="1" applyBorder="1" applyAlignment="1">
      <alignment/>
    </xf>
    <xf numFmtId="44" fontId="0" fillId="0" borderId="56" xfId="0" applyNumberFormat="1" applyBorder="1" applyAlignment="1">
      <alignment/>
    </xf>
    <xf numFmtId="44" fontId="0" fillId="0" borderId="33" xfId="0" applyNumberFormat="1" applyBorder="1" applyAlignment="1">
      <alignment/>
    </xf>
    <xf numFmtId="44" fontId="0" fillId="0" borderId="35" xfId="0" applyNumberFormat="1" applyBorder="1" applyAlignment="1">
      <alignment/>
    </xf>
    <xf numFmtId="44" fontId="0" fillId="0" borderId="55" xfId="0" applyNumberFormat="1" applyBorder="1" applyAlignment="1">
      <alignment/>
    </xf>
    <xf numFmtId="44" fontId="0" fillId="0" borderId="45" xfId="55" applyNumberFormat="1" applyFont="1" applyBorder="1" applyAlignment="1">
      <alignment/>
    </xf>
    <xf numFmtId="1" fontId="0" fillId="0" borderId="43" xfId="0" applyNumberFormat="1" applyBorder="1" applyAlignment="1">
      <alignment/>
    </xf>
    <xf numFmtId="0" fontId="32" fillId="0" borderId="56" xfId="15" applyFont="1" applyBorder="1">
      <alignment/>
      <protection/>
    </xf>
    <xf numFmtId="4" fontId="39" fillId="0" borderId="56" xfId="0" applyNumberFormat="1" applyFont="1" applyFill="1" applyBorder="1" applyAlignment="1" applyProtection="1">
      <alignment horizontal="right"/>
      <protection/>
    </xf>
    <xf numFmtId="4" fontId="39" fillId="0" borderId="50" xfId="0" applyNumberFormat="1" applyFont="1" applyFill="1" applyBorder="1" applyAlignment="1" applyProtection="1">
      <alignment horizontal="right"/>
      <protection/>
    </xf>
    <xf numFmtId="0" fontId="0" fillId="0" borderId="33" xfId="0" applyNumberFormat="1" applyBorder="1" applyAlignment="1">
      <alignment/>
    </xf>
    <xf numFmtId="4" fontId="39" fillId="0" borderId="34" xfId="0" applyNumberFormat="1" applyFont="1" applyFill="1" applyBorder="1" applyAlignment="1" applyProtection="1">
      <alignment horizontal="right"/>
      <protection/>
    </xf>
    <xf numFmtId="0" fontId="0" fillId="0" borderId="35" xfId="0" applyNumberFormat="1" applyBorder="1" applyAlignment="1">
      <alignment/>
    </xf>
    <xf numFmtId="0" fontId="0" fillId="0" borderId="55" xfId="0" applyBorder="1" applyAlignment="1">
      <alignment/>
    </xf>
    <xf numFmtId="4" fontId="39" fillId="0" borderId="55" xfId="0" applyNumberFormat="1" applyFont="1" applyFill="1" applyBorder="1" applyAlignment="1" applyProtection="1">
      <alignment horizontal="right"/>
      <protection/>
    </xf>
    <xf numFmtId="4" fontId="39" fillId="0" borderId="36" xfId="0" applyNumberFormat="1" applyFont="1" applyFill="1" applyBorder="1" applyAlignment="1" applyProtection="1">
      <alignment horizontal="right"/>
      <protection/>
    </xf>
    <xf numFmtId="44" fontId="0" fillId="0" borderId="43" xfId="55" applyNumberFormat="1" applyFont="1" applyBorder="1" applyAlignment="1">
      <alignment/>
    </xf>
    <xf numFmtId="44" fontId="0" fillId="0" borderId="56" xfId="55" applyNumberFormat="1" applyFont="1" applyBorder="1" applyAlignment="1">
      <alignment/>
    </xf>
    <xf numFmtId="170" fontId="39" fillId="0" borderId="56" xfId="0" applyNumberFormat="1" applyFont="1" applyFill="1" applyBorder="1" applyAlignment="1" applyProtection="1">
      <alignment horizontal="right"/>
      <protection locked="0"/>
    </xf>
    <xf numFmtId="44" fontId="0" fillId="0" borderId="50" xfId="55" applyNumberFormat="1" applyFont="1" applyBorder="1" applyAlignment="1">
      <alignment/>
    </xf>
    <xf numFmtId="44" fontId="0" fillId="0" borderId="33" xfId="55" applyNumberFormat="1" applyFont="1" applyBorder="1" applyAlignment="1">
      <alignment/>
    </xf>
    <xf numFmtId="44" fontId="0" fillId="0" borderId="34" xfId="55" applyNumberFormat="1" applyFont="1" applyBorder="1" applyAlignment="1">
      <alignment/>
    </xf>
    <xf numFmtId="44" fontId="0" fillId="0" borderId="35" xfId="55" applyNumberFormat="1" applyFont="1" applyBorder="1" applyAlignment="1">
      <alignment/>
    </xf>
    <xf numFmtId="44" fontId="0" fillId="0" borderId="55" xfId="55" applyNumberFormat="1" applyFont="1" applyBorder="1" applyAlignment="1">
      <alignment/>
    </xf>
    <xf numFmtId="170" fontId="39" fillId="0" borderId="55" xfId="0" applyNumberFormat="1" applyFont="1" applyFill="1" applyBorder="1" applyAlignment="1" applyProtection="1">
      <alignment horizontal="right"/>
      <protection locked="0"/>
    </xf>
    <xf numFmtId="44" fontId="0" fillId="0" borderId="36" xfId="55" applyNumberFormat="1" applyFont="1" applyBorder="1" applyAlignment="1">
      <alignment/>
    </xf>
    <xf numFmtId="44" fontId="0" fillId="0" borderId="56" xfId="0" applyNumberFormat="1" applyFill="1" applyBorder="1" applyAlignment="1">
      <alignment/>
    </xf>
    <xf numFmtId="10" fontId="0" fillId="0" borderId="56" xfId="103" applyNumberFormat="1" applyFont="1" applyBorder="1" applyAlignment="1">
      <alignment/>
    </xf>
    <xf numFmtId="10" fontId="0" fillId="0" borderId="56" xfId="103" applyNumberFormat="1" applyFont="1" applyBorder="1" applyAlignment="1">
      <alignment/>
    </xf>
    <xf numFmtId="44" fontId="0" fillId="0" borderId="55" xfId="0" applyNumberFormat="1" applyFill="1" applyBorder="1" applyAlignment="1">
      <alignment/>
    </xf>
    <xf numFmtId="10" fontId="0" fillId="0" borderId="55" xfId="103" applyNumberFormat="1" applyFont="1" applyBorder="1" applyAlignment="1">
      <alignment/>
    </xf>
    <xf numFmtId="10" fontId="0" fillId="0" borderId="55" xfId="103" applyNumberFormat="1" applyFont="1" applyBorder="1" applyAlignment="1">
      <alignment/>
    </xf>
    <xf numFmtId="44" fontId="0" fillId="27" borderId="57" xfId="55" applyNumberFormat="1" applyFont="1" applyFill="1" applyBorder="1" applyAlignment="1">
      <alignment/>
    </xf>
    <xf numFmtId="44" fontId="0" fillId="27" borderId="58" xfId="55" applyNumberFormat="1" applyFont="1" applyFill="1" applyBorder="1" applyAlignment="1">
      <alignment/>
    </xf>
    <xf numFmtId="44" fontId="0" fillId="27" borderId="59" xfId="55" applyNumberFormat="1" applyFont="1" applyFill="1" applyBorder="1" applyAlignment="1">
      <alignment/>
    </xf>
    <xf numFmtId="44" fontId="0" fillId="0" borderId="44" xfId="55" applyNumberFormat="1" applyFont="1" applyBorder="1" applyAlignment="1">
      <alignment/>
    </xf>
    <xf numFmtId="44" fontId="0" fillId="0" borderId="60" xfId="55" applyNumberFormat="1" applyFont="1" applyBorder="1" applyAlignment="1">
      <alignment/>
    </xf>
    <xf numFmtId="44" fontId="0" fillId="0" borderId="61" xfId="55" applyNumberFormat="1" applyFont="1" applyBorder="1" applyAlignment="1">
      <alignment/>
    </xf>
    <xf numFmtId="44" fontId="3" fillId="26" borderId="62" xfId="55" applyNumberFormat="1" applyFont="1" applyFill="1" applyBorder="1" applyAlignment="1">
      <alignment/>
    </xf>
    <xf numFmtId="44" fontId="3" fillId="26" borderId="63" xfId="55" applyNumberFormat="1" applyFont="1" applyFill="1" applyBorder="1" applyAlignment="1">
      <alignment/>
    </xf>
    <xf numFmtId="44" fontId="3" fillId="26" borderId="64" xfId="55" applyNumberFormat="1" applyFont="1" applyFill="1" applyBorder="1" applyAlignment="1">
      <alignment/>
    </xf>
    <xf numFmtId="44" fontId="0" fillId="0" borderId="65" xfId="55" applyNumberFormat="1" applyFont="1" applyBorder="1" applyAlignment="1">
      <alignment/>
    </xf>
    <xf numFmtId="44" fontId="0" fillId="0" borderId="66" xfId="55" applyNumberFormat="1" applyFont="1" applyBorder="1" applyAlignment="1">
      <alignment/>
    </xf>
    <xf numFmtId="44" fontId="0" fillId="0" borderId="67" xfId="55" applyFont="1" applyBorder="1" applyAlignment="1">
      <alignment/>
    </xf>
    <xf numFmtId="44" fontId="0" fillId="0" borderId="68" xfId="0" applyNumberFormat="1" applyBorder="1" applyAlignment="1">
      <alignment/>
    </xf>
    <xf numFmtId="44" fontId="3" fillId="4" borderId="69" xfId="55" applyFont="1" applyFill="1" applyBorder="1" applyAlignment="1">
      <alignment wrapText="1"/>
    </xf>
    <xf numFmtId="44" fontId="3" fillId="4" borderId="22" xfId="55" applyFont="1" applyFill="1" applyBorder="1" applyAlignment="1">
      <alignment wrapText="1"/>
    </xf>
    <xf numFmtId="44" fontId="3" fillId="4" borderId="40" xfId="55" applyFont="1" applyFill="1" applyBorder="1" applyAlignment="1">
      <alignment wrapText="1"/>
    </xf>
    <xf numFmtId="0" fontId="3" fillId="4" borderId="22" xfId="0" applyFont="1" applyFill="1" applyBorder="1" applyAlignment="1">
      <alignment wrapText="1"/>
    </xf>
    <xf numFmtId="10" fontId="3" fillId="4" borderId="22" xfId="103" applyNumberFormat="1" applyFont="1" applyFill="1" applyBorder="1" applyAlignment="1">
      <alignment wrapText="1"/>
    </xf>
    <xf numFmtId="0" fontId="3" fillId="4" borderId="70" xfId="0" applyFont="1" applyFill="1" applyBorder="1" applyAlignment="1">
      <alignment wrapText="1"/>
    </xf>
    <xf numFmtId="0" fontId="3" fillId="27" borderId="71" xfId="0" applyFont="1" applyFill="1" applyBorder="1" applyAlignment="1">
      <alignment wrapText="1"/>
    </xf>
    <xf numFmtId="0" fontId="3" fillId="4" borderId="48" xfId="0" applyFont="1" applyFill="1" applyBorder="1" applyAlignment="1">
      <alignment wrapText="1"/>
    </xf>
    <xf numFmtId="0" fontId="3" fillId="4" borderId="71" xfId="0" applyFont="1" applyFill="1" applyBorder="1" applyAlignment="1">
      <alignment wrapText="1"/>
    </xf>
    <xf numFmtId="0" fontId="3" fillId="26" borderId="71" xfId="0" applyFont="1" applyFill="1" applyBorder="1" applyAlignment="1">
      <alignment wrapText="1"/>
    </xf>
    <xf numFmtId="0" fontId="0" fillId="4" borderId="25" xfId="0" applyFill="1" applyBorder="1" applyAlignment="1">
      <alignment/>
    </xf>
    <xf numFmtId="44" fontId="0" fillId="4" borderId="25" xfId="0" applyNumberFormat="1" applyFill="1" applyBorder="1" applyAlignment="1">
      <alignment/>
    </xf>
    <xf numFmtId="10" fontId="0" fillId="4" borderId="25" xfId="103" applyNumberFormat="1" applyFont="1" applyFill="1" applyBorder="1" applyAlignment="1">
      <alignment/>
    </xf>
    <xf numFmtId="0" fontId="0" fillId="27" borderId="25" xfId="0" applyFont="1" applyFill="1" applyBorder="1" applyAlignment="1">
      <alignment/>
    </xf>
    <xf numFmtId="0" fontId="3" fillId="26" borderId="32" xfId="0" applyFont="1" applyFill="1" applyBorder="1" applyAlignment="1">
      <alignment/>
    </xf>
    <xf numFmtId="0" fontId="0" fillId="0" borderId="14" xfId="0" applyFont="1" applyFill="1" applyBorder="1" applyAlignment="1">
      <alignment/>
    </xf>
    <xf numFmtId="0" fontId="0" fillId="0" borderId="0" xfId="15" applyAlignment="1">
      <alignment horizontal="center" vertical="center"/>
      <protection/>
    </xf>
    <xf numFmtId="0" fontId="3" fillId="0" borderId="0" xfId="15" applyFont="1" applyAlignment="1">
      <alignment horizontal="center" vertical="center"/>
      <protection/>
    </xf>
    <xf numFmtId="44" fontId="3" fillId="27" borderId="29" xfId="55" applyFont="1" applyFill="1" applyBorder="1" applyAlignment="1">
      <alignment horizontal="center"/>
    </xf>
    <xf numFmtId="44" fontId="3" fillId="27" borderId="30" xfId="55" applyFont="1" applyFill="1" applyBorder="1" applyAlignment="1">
      <alignment horizontal="center"/>
    </xf>
    <xf numFmtId="44" fontId="3" fillId="0" borderId="53" xfId="55" applyFont="1" applyFill="1" applyBorder="1" applyAlignment="1">
      <alignment horizontal="center"/>
    </xf>
    <xf numFmtId="44" fontId="3" fillId="0" borderId="38" xfId="55" applyFont="1" applyFill="1" applyBorder="1" applyAlignment="1">
      <alignment horizontal="center"/>
    </xf>
    <xf numFmtId="44" fontId="3" fillId="0" borderId="54" xfId="55" applyFont="1" applyFill="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0" fillId="30" borderId="44" xfId="0" applyFont="1" applyFill="1" applyBorder="1" applyAlignment="1">
      <alignment horizontal="center"/>
    </xf>
    <xf numFmtId="0" fontId="0" fillId="30" borderId="17" xfId="0" applyFill="1" applyBorder="1" applyAlignment="1">
      <alignment horizontal="center"/>
    </xf>
    <xf numFmtId="0" fontId="0" fillId="30" borderId="45" xfId="0" applyFill="1" applyBorder="1" applyAlignment="1">
      <alignment horizontal="center"/>
    </xf>
    <xf numFmtId="44" fontId="0" fillId="28" borderId="41" xfId="55" applyFont="1" applyFill="1" applyBorder="1" applyAlignment="1">
      <alignment horizontal="center"/>
    </xf>
    <xf numFmtId="44" fontId="0" fillId="28" borderId="46" xfId="55" applyFont="1" applyFill="1" applyBorder="1" applyAlignment="1">
      <alignment horizontal="center"/>
    </xf>
    <xf numFmtId="0" fontId="0" fillId="31" borderId="24" xfId="0" applyFill="1" applyBorder="1" applyAlignment="1">
      <alignment horizontal="center"/>
    </xf>
    <xf numFmtId="0" fontId="0" fillId="32" borderId="44" xfId="0" applyFill="1" applyBorder="1" applyAlignment="1">
      <alignment horizontal="center"/>
    </xf>
    <xf numFmtId="0" fontId="0" fillId="32" borderId="17" xfId="0" applyFill="1" applyBorder="1" applyAlignment="1">
      <alignment horizontal="center"/>
    </xf>
    <xf numFmtId="0" fontId="0" fillId="32" borderId="45" xfId="0" applyFill="1" applyBorder="1" applyAlignment="1">
      <alignment horizontal="center"/>
    </xf>
  </cellXfs>
  <cellStyles count="101">
    <cellStyle name="Normal" xfId="0"/>
    <cellStyle name="%" xfId="15"/>
    <cellStyle name="]&#13;&#10;Zoomed=1&#13;&#10;Row=0&#13;&#10;Column=0&#13;&#10;Height=0&#13;&#10;Width=0&#13;&#10;FontName=FoxFont&#13;&#10;FontStyle=0&#13;&#10;FontSize=9&#13;&#10;PrtFontName=FoxPrin"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3" xfId="48"/>
    <cellStyle name="Comma 3 2" xfId="49"/>
    <cellStyle name="Comma 4" xfId="50"/>
    <cellStyle name="Comma 5" xfId="51"/>
    <cellStyle name="Comma0" xfId="52"/>
    <cellStyle name="Contents" xfId="53"/>
    <cellStyle name="CURR" xfId="54"/>
    <cellStyle name="Currency" xfId="55"/>
    <cellStyle name="Currency [0]" xfId="56"/>
    <cellStyle name="Currency 2" xfId="57"/>
    <cellStyle name="Currency 2 2" xfId="58"/>
    <cellStyle name="Currency 3" xfId="59"/>
    <cellStyle name="Currency 3 2" xfId="60"/>
    <cellStyle name="Currency 4" xfId="61"/>
    <cellStyle name="Currency 5" xfId="62"/>
    <cellStyle name="Currency0" xfId="63"/>
    <cellStyle name="Date" xfId="64"/>
    <cellStyle name="Explanatory Text" xfId="65"/>
    <cellStyle name="Fixed" xfId="66"/>
    <cellStyle name="Good" xfId="67"/>
    <cellStyle name="Heading 1" xfId="68"/>
    <cellStyle name="Heading 2" xfId="69"/>
    <cellStyle name="Heading 3" xfId="70"/>
    <cellStyle name="Heading 4" xfId="71"/>
    <cellStyle name="Input" xfId="72"/>
    <cellStyle name="LEAName" xfId="73"/>
    <cellStyle name="Linked Cell" xfId="74"/>
    <cellStyle name="Neutral" xfId="75"/>
    <cellStyle name="Normal 2" xfId="76"/>
    <cellStyle name="Normal 2 2" xfId="77"/>
    <cellStyle name="Normal 2 3" xfId="78"/>
    <cellStyle name="Normal 2 4" xfId="79"/>
    <cellStyle name="Normal 2 5" xfId="80"/>
    <cellStyle name="Normal 3" xfId="81"/>
    <cellStyle name="Normal 3 2" xfId="82"/>
    <cellStyle name="Normal 3 3" xfId="83"/>
    <cellStyle name="Normal 4" xfId="84"/>
    <cellStyle name="Normal 4 2" xfId="85"/>
    <cellStyle name="Normal 5" xfId="86"/>
    <cellStyle name="Normal 6" xfId="87"/>
    <cellStyle name="Normal 7" xfId="88"/>
    <cellStyle name="Normaltext" xfId="89"/>
    <cellStyle name="Normgrndtot" xfId="90"/>
    <cellStyle name="Normsubtotal" xfId="91"/>
    <cellStyle name="Normtextbold" xfId="92"/>
    <cellStyle name="Normtinteger" xfId="93"/>
    <cellStyle name="Normtotal" xfId="94"/>
    <cellStyle name="Note" xfId="95"/>
    <cellStyle name="Number" xfId="96"/>
    <cellStyle name="Output" xfId="97"/>
    <cellStyle name="Output Amounts" xfId="98"/>
    <cellStyle name="Output Column Headings" xfId="99"/>
    <cellStyle name="Output Line Items" xfId="100"/>
    <cellStyle name="Output Report Heading" xfId="101"/>
    <cellStyle name="Output Report Title" xfId="102"/>
    <cellStyle name="Percent" xfId="103"/>
    <cellStyle name="Percent 2" xfId="104"/>
    <cellStyle name="Percent 2 2" xfId="105"/>
    <cellStyle name="sdso" xfId="106"/>
    <cellStyle name="Shadgrndtot" xfId="107"/>
    <cellStyle name="Shadinteger" xfId="108"/>
    <cellStyle name="Shadsubtotal" xfId="109"/>
    <cellStyle name="Shadtext" xfId="110"/>
    <cellStyle name="Shadtotal" xfId="111"/>
    <cellStyle name="Title" xfId="112"/>
    <cellStyle name="Total" xfId="113"/>
    <cellStyle name="Warning Text" xfId="11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e\Fininfo\Estimates\Estimates%202013-14\Schools%20Budgets\Final%20Budget%202013%2014\Hillingdon%20Schools%20Budget%202013%2014%20Final%20Version%20Revised%2025.2.1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Finance\Fininfo\Estimates\Estimates%202014-15\School%20Budgets\Modelling%20Tool%20(APT)\Final%20submission\Hillingdon%20312%20Final%20APT%20Submission%2021.1.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nce\Fininfo\Budget%20Monitoring\Budget%20Monitoring%202018-19\EYSFF\Spring\EYSFF%20Spring%20Term%20School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ance\Fininfo\Estimates\Estimates%202019-20\Schools\EYSFF\EYSFF%20Working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De Delegation"/>
      <sheetName val="Summary Data"/>
      <sheetName val="Pro Forma"/>
      <sheetName val="Pro Forma Commentary"/>
      <sheetName val="Look Up"/>
      <sheetName val="Chart_Data"/>
      <sheetName val="References"/>
    </sheetNames>
    <sheetDataSet>
      <sheetData sheetId="7">
        <row r="2">
          <cell r="A2" t="str">
            <v>URN</v>
          </cell>
          <cell r="B2" t="str">
            <v>LAESTAB</v>
          </cell>
          <cell r="C2" t="str">
            <v>School Name</v>
          </cell>
          <cell r="D2" t="str">
            <v>Local_Authority</v>
          </cell>
          <cell r="E2" t="str">
            <v>Phase</v>
          </cell>
          <cell r="F2" t="str">
            <v>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102367</v>
          </cell>
        </row>
        <row r="4">
          <cell r="A4">
            <v>102368</v>
          </cell>
        </row>
        <row r="5">
          <cell r="A5">
            <v>102369</v>
          </cell>
        </row>
        <row r="6">
          <cell r="A6">
            <v>102373</v>
          </cell>
        </row>
        <row r="7">
          <cell r="A7">
            <v>102374</v>
          </cell>
        </row>
        <row r="8">
          <cell r="A8">
            <v>102375</v>
          </cell>
        </row>
        <row r="9">
          <cell r="A9">
            <v>102377</v>
          </cell>
        </row>
        <row r="10">
          <cell r="A10">
            <v>102378</v>
          </cell>
        </row>
        <row r="11">
          <cell r="A11">
            <v>102379</v>
          </cell>
        </row>
        <row r="12">
          <cell r="A12">
            <v>102380</v>
          </cell>
        </row>
        <row r="13">
          <cell r="A13">
            <v>102381</v>
          </cell>
        </row>
        <row r="14">
          <cell r="A14">
            <v>102382</v>
          </cell>
        </row>
        <row r="15">
          <cell r="A15">
            <v>102383</v>
          </cell>
        </row>
        <row r="16">
          <cell r="A16">
            <v>102384</v>
          </cell>
        </row>
        <row r="17">
          <cell r="A17">
            <v>102385</v>
          </cell>
        </row>
        <row r="18">
          <cell r="A18">
            <v>102388</v>
          </cell>
        </row>
        <row r="19">
          <cell r="A19">
            <v>102389</v>
          </cell>
        </row>
        <row r="20">
          <cell r="A20">
            <v>102390</v>
          </cell>
        </row>
        <row r="21">
          <cell r="A21">
            <v>102391</v>
          </cell>
        </row>
        <row r="22">
          <cell r="A22">
            <v>102392</v>
          </cell>
        </row>
        <row r="23">
          <cell r="A23">
            <v>102393</v>
          </cell>
        </row>
        <row r="24">
          <cell r="A24">
            <v>102394</v>
          </cell>
        </row>
        <row r="25">
          <cell r="A25">
            <v>102397</v>
          </cell>
        </row>
        <row r="26">
          <cell r="A26">
            <v>102398</v>
          </cell>
        </row>
        <row r="27">
          <cell r="A27">
            <v>102399</v>
          </cell>
        </row>
        <row r="28">
          <cell r="A28">
            <v>102400</v>
          </cell>
        </row>
        <row r="29">
          <cell r="A29">
            <v>102401</v>
          </cell>
        </row>
        <row r="30">
          <cell r="A30">
            <v>102403</v>
          </cell>
        </row>
        <row r="31">
          <cell r="A31">
            <v>102404</v>
          </cell>
        </row>
        <row r="32">
          <cell r="A32">
            <v>102405</v>
          </cell>
        </row>
        <row r="33">
          <cell r="A33">
            <v>102406</v>
          </cell>
        </row>
        <row r="34">
          <cell r="A34">
            <v>102407</v>
          </cell>
        </row>
        <row r="35">
          <cell r="A35">
            <v>102408</v>
          </cell>
        </row>
        <row r="36">
          <cell r="A36">
            <v>102409</v>
          </cell>
        </row>
        <row r="37">
          <cell r="A37">
            <v>102410</v>
          </cell>
        </row>
        <row r="38">
          <cell r="A38">
            <v>102411</v>
          </cell>
        </row>
        <row r="39">
          <cell r="A39">
            <v>102413</v>
          </cell>
        </row>
        <row r="40">
          <cell r="A40">
            <v>102414</v>
          </cell>
        </row>
        <row r="41">
          <cell r="A41">
            <v>102416</v>
          </cell>
        </row>
        <row r="42">
          <cell r="A42">
            <v>131152</v>
          </cell>
        </row>
        <row r="43">
          <cell r="A43">
            <v>131744</v>
          </cell>
        </row>
        <row r="44">
          <cell r="A44">
            <v>131638</v>
          </cell>
        </row>
        <row r="45">
          <cell r="A45">
            <v>102417</v>
          </cell>
        </row>
        <row r="46">
          <cell r="A46">
            <v>102418</v>
          </cell>
        </row>
        <row r="47">
          <cell r="A47">
            <v>102419</v>
          </cell>
        </row>
        <row r="48">
          <cell r="A48">
            <v>102420</v>
          </cell>
        </row>
        <row r="49">
          <cell r="A49">
            <v>102421</v>
          </cell>
        </row>
        <row r="50">
          <cell r="A50">
            <v>102422</v>
          </cell>
        </row>
        <row r="51">
          <cell r="A51">
            <v>102423</v>
          </cell>
        </row>
        <row r="52">
          <cell r="A52">
            <v>102424</v>
          </cell>
        </row>
        <row r="53">
          <cell r="A53">
            <v>102425</v>
          </cell>
        </row>
        <row r="54">
          <cell r="A54">
            <v>102426</v>
          </cell>
        </row>
        <row r="55">
          <cell r="A55">
            <v>117709</v>
          </cell>
        </row>
        <row r="56">
          <cell r="A56">
            <v>102430</v>
          </cell>
        </row>
        <row r="57">
          <cell r="A57">
            <v>102431</v>
          </cell>
        </row>
        <row r="58">
          <cell r="A58">
            <v>102432</v>
          </cell>
        </row>
        <row r="59">
          <cell r="A59">
            <v>102433</v>
          </cell>
        </row>
        <row r="60">
          <cell r="A60">
            <v>102434</v>
          </cell>
        </row>
        <row r="61">
          <cell r="A61">
            <v>102435</v>
          </cell>
        </row>
        <row r="62">
          <cell r="A62">
            <v>102436</v>
          </cell>
        </row>
        <row r="63">
          <cell r="A63">
            <v>102438</v>
          </cell>
        </row>
        <row r="64">
          <cell r="A64">
            <v>102439</v>
          </cell>
        </row>
        <row r="65">
          <cell r="A65">
            <v>138613</v>
          </cell>
        </row>
        <row r="66">
          <cell r="A66">
            <v>138621</v>
          </cell>
        </row>
        <row r="67">
          <cell r="A67">
            <v>133625</v>
          </cell>
        </row>
        <row r="68">
          <cell r="A68">
            <v>102449</v>
          </cell>
        </row>
        <row r="69">
          <cell r="A69">
            <v>102451</v>
          </cell>
        </row>
        <row r="70">
          <cell r="A70">
            <v>137407</v>
          </cell>
        </row>
        <row r="71">
          <cell r="A71">
            <v>136329</v>
          </cell>
        </row>
        <row r="72">
          <cell r="A72">
            <v>137633</v>
          </cell>
        </row>
        <row r="73">
          <cell r="A73">
            <v>136519</v>
          </cell>
        </row>
        <row r="74">
          <cell r="A74">
            <v>137635</v>
          </cell>
        </row>
        <row r="75">
          <cell r="A75">
            <v>136711</v>
          </cell>
        </row>
        <row r="76">
          <cell r="A76">
            <v>136768</v>
          </cell>
        </row>
        <row r="77">
          <cell r="A77">
            <v>137829</v>
          </cell>
        </row>
        <row r="78">
          <cell r="A78">
            <v>137077</v>
          </cell>
        </row>
        <row r="79">
          <cell r="A79">
            <v>137078</v>
          </cell>
        </row>
        <row r="80">
          <cell r="A80">
            <v>137925</v>
          </cell>
        </row>
        <row r="81">
          <cell r="A81">
            <v>136631</v>
          </cell>
        </row>
        <row r="82">
          <cell r="A82">
            <v>137844</v>
          </cell>
        </row>
      </sheetData>
      <sheetData sheetId="8">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102367</v>
          </cell>
        </row>
        <row r="53">
          <cell r="A53">
            <v>102368</v>
          </cell>
        </row>
        <row r="54">
          <cell r="A54">
            <v>102369</v>
          </cell>
        </row>
        <row r="55">
          <cell r="A55">
            <v>102373</v>
          </cell>
        </row>
        <row r="56">
          <cell r="A56">
            <v>102374</v>
          </cell>
        </row>
        <row r="57">
          <cell r="A57">
            <v>102375</v>
          </cell>
        </row>
        <row r="58">
          <cell r="A58">
            <v>102377</v>
          </cell>
        </row>
        <row r="59">
          <cell r="A59">
            <v>102378</v>
          </cell>
        </row>
        <row r="60">
          <cell r="A60">
            <v>102379</v>
          </cell>
        </row>
        <row r="61">
          <cell r="A61">
            <v>102380</v>
          </cell>
        </row>
        <row r="62">
          <cell r="A62">
            <v>102381</v>
          </cell>
        </row>
        <row r="63">
          <cell r="A63">
            <v>102382</v>
          </cell>
        </row>
        <row r="64">
          <cell r="A64">
            <v>102383</v>
          </cell>
        </row>
        <row r="65">
          <cell r="A65">
            <v>102384</v>
          </cell>
        </row>
        <row r="66">
          <cell r="A66">
            <v>102385</v>
          </cell>
        </row>
        <row r="67">
          <cell r="A67">
            <v>102388</v>
          </cell>
        </row>
        <row r="68">
          <cell r="A68">
            <v>102389</v>
          </cell>
        </row>
        <row r="69">
          <cell r="A69">
            <v>102390</v>
          </cell>
        </row>
        <row r="70">
          <cell r="A70">
            <v>102391</v>
          </cell>
        </row>
        <row r="71">
          <cell r="A71">
            <v>102392</v>
          </cell>
        </row>
        <row r="72">
          <cell r="A72">
            <v>102393</v>
          </cell>
        </row>
        <row r="73">
          <cell r="A73">
            <v>102394</v>
          </cell>
        </row>
        <row r="74">
          <cell r="A74">
            <v>102397</v>
          </cell>
        </row>
        <row r="75">
          <cell r="A75">
            <v>102398</v>
          </cell>
        </row>
        <row r="76">
          <cell r="A76">
            <v>102399</v>
          </cell>
        </row>
        <row r="77">
          <cell r="A77">
            <v>102400</v>
          </cell>
        </row>
        <row r="78">
          <cell r="A78">
            <v>102401</v>
          </cell>
        </row>
        <row r="79">
          <cell r="A79">
            <v>102403</v>
          </cell>
        </row>
        <row r="80">
          <cell r="A80">
            <v>102404</v>
          </cell>
        </row>
        <row r="81">
          <cell r="A81">
            <v>102405</v>
          </cell>
        </row>
        <row r="82">
          <cell r="A82">
            <v>102406</v>
          </cell>
        </row>
        <row r="83">
          <cell r="A83">
            <v>102407</v>
          </cell>
        </row>
        <row r="84">
          <cell r="A84">
            <v>102408</v>
          </cell>
        </row>
        <row r="85">
          <cell r="A85">
            <v>102409</v>
          </cell>
        </row>
        <row r="86">
          <cell r="A86">
            <v>102410</v>
          </cell>
        </row>
        <row r="87">
          <cell r="A87">
            <v>102411</v>
          </cell>
        </row>
        <row r="88">
          <cell r="A88">
            <v>102413</v>
          </cell>
        </row>
        <row r="89">
          <cell r="A89">
            <v>102414</v>
          </cell>
        </row>
        <row r="90">
          <cell r="A90">
            <v>102416</v>
          </cell>
        </row>
        <row r="91">
          <cell r="A91">
            <v>131152</v>
          </cell>
        </row>
        <row r="92">
          <cell r="A92">
            <v>131744</v>
          </cell>
        </row>
        <row r="93">
          <cell r="A93">
            <v>131638</v>
          </cell>
        </row>
        <row r="94">
          <cell r="A94">
            <v>102417</v>
          </cell>
        </row>
        <row r="95">
          <cell r="A95">
            <v>102418</v>
          </cell>
        </row>
        <row r="96">
          <cell r="A96">
            <v>102419</v>
          </cell>
        </row>
        <row r="97">
          <cell r="A97">
            <v>102420</v>
          </cell>
        </row>
        <row r="98">
          <cell r="A98">
            <v>102421</v>
          </cell>
        </row>
        <row r="99">
          <cell r="A99">
            <v>102422</v>
          </cell>
        </row>
        <row r="100">
          <cell r="A100">
            <v>102423</v>
          </cell>
        </row>
        <row r="101">
          <cell r="A101">
            <v>102424</v>
          </cell>
        </row>
        <row r="102">
          <cell r="A102">
            <v>102425</v>
          </cell>
        </row>
        <row r="103">
          <cell r="A103">
            <v>102426</v>
          </cell>
        </row>
        <row r="104">
          <cell r="A104">
            <v>117709</v>
          </cell>
        </row>
        <row r="105">
          <cell r="A105">
            <v>102430</v>
          </cell>
        </row>
        <row r="106">
          <cell r="A106">
            <v>102431</v>
          </cell>
        </row>
        <row r="107">
          <cell r="A107">
            <v>102432</v>
          </cell>
        </row>
        <row r="108">
          <cell r="A108">
            <v>102433</v>
          </cell>
        </row>
        <row r="109">
          <cell r="A109">
            <v>102434</v>
          </cell>
        </row>
        <row r="110">
          <cell r="A110">
            <v>102435</v>
          </cell>
        </row>
        <row r="111">
          <cell r="A111">
            <v>102436</v>
          </cell>
        </row>
        <row r="112">
          <cell r="A112">
            <v>102438</v>
          </cell>
        </row>
        <row r="113">
          <cell r="A113">
            <v>102439</v>
          </cell>
        </row>
        <row r="114">
          <cell r="A114">
            <v>138613</v>
          </cell>
        </row>
        <row r="115">
          <cell r="A115">
            <v>138621</v>
          </cell>
        </row>
        <row r="116">
          <cell r="A116">
            <v>133625</v>
          </cell>
        </row>
        <row r="117">
          <cell r="A117">
            <v>102449</v>
          </cell>
        </row>
        <row r="118">
          <cell r="A118">
            <v>102451</v>
          </cell>
        </row>
        <row r="119">
          <cell r="A119">
            <v>137407</v>
          </cell>
        </row>
        <row r="120">
          <cell r="A120">
            <v>136329</v>
          </cell>
        </row>
        <row r="121">
          <cell r="A121">
            <v>137633</v>
          </cell>
        </row>
        <row r="122">
          <cell r="A122">
            <v>136519</v>
          </cell>
        </row>
        <row r="123">
          <cell r="A123">
            <v>137635</v>
          </cell>
        </row>
        <row r="124">
          <cell r="A124">
            <v>136711</v>
          </cell>
        </row>
        <row r="125">
          <cell r="A125">
            <v>136768</v>
          </cell>
        </row>
        <row r="126">
          <cell r="A126">
            <v>137829</v>
          </cell>
        </row>
        <row r="127">
          <cell r="A127">
            <v>137077</v>
          </cell>
        </row>
        <row r="128">
          <cell r="A128">
            <v>137078</v>
          </cell>
        </row>
        <row r="129">
          <cell r="A129">
            <v>137925</v>
          </cell>
        </row>
        <row r="130">
          <cell r="A130">
            <v>136631</v>
          </cell>
        </row>
        <row r="131">
          <cell r="A131">
            <v>137844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Local Factors"/>
      <sheetName val="Inputs &amp; Adjustment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9">
        <row r="9">
          <cell r="E9"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Actuals"/>
      <sheetName val="Budget"/>
    </sheetNames>
    <sheetDataSet>
      <sheetData sheetId="0">
        <row r="2">
          <cell r="A2">
            <v>2060</v>
          </cell>
          <cell r="B2" t="str">
            <v>Yeading Infant</v>
          </cell>
          <cell r="C2">
            <v>104</v>
          </cell>
          <cell r="D2">
            <v>119</v>
          </cell>
          <cell r="E2">
            <v>21420</v>
          </cell>
        </row>
        <row r="3">
          <cell r="A3">
            <v>2027</v>
          </cell>
          <cell r="B3" t="str">
            <v>John Locke</v>
          </cell>
          <cell r="C3">
            <v>71</v>
          </cell>
          <cell r="D3">
            <v>80</v>
          </cell>
          <cell r="E3">
            <v>14400</v>
          </cell>
        </row>
        <row r="4">
          <cell r="A4">
            <v>2081</v>
          </cell>
          <cell r="B4" t="str">
            <v>Hillingdon Primary</v>
          </cell>
          <cell r="C4">
            <v>73</v>
          </cell>
          <cell r="D4">
            <v>75</v>
          </cell>
          <cell r="E4">
            <v>13500</v>
          </cell>
        </row>
        <row r="5">
          <cell r="A5">
            <v>2069</v>
          </cell>
          <cell r="B5" t="str">
            <v>Whitehall Infant</v>
          </cell>
          <cell r="C5">
            <v>69</v>
          </cell>
          <cell r="D5">
            <v>70</v>
          </cell>
          <cell r="E5">
            <v>12600</v>
          </cell>
        </row>
        <row r="6">
          <cell r="A6">
            <v>3404</v>
          </cell>
          <cell r="B6" t="str">
            <v>St Mary's RC Primary</v>
          </cell>
          <cell r="C6">
            <v>31</v>
          </cell>
          <cell r="D6">
            <v>45</v>
          </cell>
          <cell r="E6">
            <v>8100</v>
          </cell>
        </row>
        <row r="7">
          <cell r="A7">
            <v>2064</v>
          </cell>
          <cell r="B7" t="str">
            <v>Rabbsfarm Primary</v>
          </cell>
          <cell r="C7">
            <v>68</v>
          </cell>
          <cell r="D7">
            <v>68</v>
          </cell>
          <cell r="E7">
            <v>12240</v>
          </cell>
        </row>
        <row r="8">
          <cell r="A8">
            <v>3401</v>
          </cell>
          <cell r="B8" t="str">
            <v>Botwell House RC Primary</v>
          </cell>
          <cell r="C8">
            <v>63</v>
          </cell>
          <cell r="D8">
            <v>86</v>
          </cell>
          <cell r="E8">
            <v>15480</v>
          </cell>
        </row>
        <row r="9">
          <cell r="A9">
            <v>2063</v>
          </cell>
          <cell r="B9" t="str">
            <v>Highfield Primary</v>
          </cell>
          <cell r="C9">
            <v>18</v>
          </cell>
          <cell r="D9">
            <v>25</v>
          </cell>
          <cell r="E9">
            <v>4500</v>
          </cell>
        </row>
        <row r="10">
          <cell r="A10">
            <v>2025</v>
          </cell>
          <cell r="B10" t="str">
            <v>Harlyn Primary</v>
          </cell>
          <cell r="C10">
            <v>38</v>
          </cell>
          <cell r="D10">
            <v>51</v>
          </cell>
          <cell r="E10">
            <v>9180</v>
          </cell>
        </row>
        <row r="11">
          <cell r="A11">
            <v>2035</v>
          </cell>
          <cell r="B11" t="str">
            <v>St Martins</v>
          </cell>
          <cell r="C11">
            <v>26</v>
          </cell>
          <cell r="D11">
            <v>28</v>
          </cell>
          <cell r="E11">
            <v>5040</v>
          </cell>
        </row>
        <row r="12">
          <cell r="A12">
            <v>2074</v>
          </cell>
          <cell r="B12" t="str">
            <v>Whiteheath Infant</v>
          </cell>
          <cell r="C12">
            <v>62</v>
          </cell>
          <cell r="D12">
            <v>62</v>
          </cell>
          <cell r="E12">
            <v>11160</v>
          </cell>
        </row>
        <row r="13">
          <cell r="A13">
            <v>2003</v>
          </cell>
          <cell r="B13" t="str">
            <v>Bourne Primary</v>
          </cell>
          <cell r="C13">
            <v>28</v>
          </cell>
          <cell r="D13">
            <v>34</v>
          </cell>
          <cell r="E13">
            <v>6120</v>
          </cell>
        </row>
        <row r="14">
          <cell r="A14">
            <v>2024</v>
          </cell>
          <cell r="B14" t="str">
            <v>Harefield Infant</v>
          </cell>
          <cell r="C14">
            <v>51</v>
          </cell>
          <cell r="D14">
            <v>61</v>
          </cell>
          <cell r="E14">
            <v>10980</v>
          </cell>
        </row>
        <row r="15">
          <cell r="A15">
            <v>2028</v>
          </cell>
          <cell r="B15" t="str">
            <v>Lake Farm Park</v>
          </cell>
          <cell r="C15">
            <v>82</v>
          </cell>
          <cell r="D15">
            <v>84</v>
          </cell>
          <cell r="E15">
            <v>15120</v>
          </cell>
        </row>
        <row r="16">
          <cell r="A16">
            <v>2065</v>
          </cell>
          <cell r="B16" t="str">
            <v>Warrender Primary</v>
          </cell>
          <cell r="C16">
            <v>26</v>
          </cell>
          <cell r="D16">
            <v>35</v>
          </cell>
          <cell r="E16">
            <v>6300</v>
          </cell>
        </row>
        <row r="17">
          <cell r="A17">
            <v>3307</v>
          </cell>
          <cell r="B17" t="str">
            <v>Dr Tripletts CE</v>
          </cell>
          <cell r="C17">
            <v>41</v>
          </cell>
          <cell r="D17">
            <v>44</v>
          </cell>
          <cell r="E17">
            <v>7920</v>
          </cell>
        </row>
        <row r="18">
          <cell r="A18">
            <v>2026</v>
          </cell>
          <cell r="B18" t="str">
            <v>Harmondsworth Primary</v>
          </cell>
          <cell r="C18">
            <v>18</v>
          </cell>
          <cell r="D18">
            <v>23</v>
          </cell>
          <cell r="E18">
            <v>4140</v>
          </cell>
        </row>
        <row r="19">
          <cell r="A19">
            <v>2045</v>
          </cell>
          <cell r="B19" t="str">
            <v>Rosedale College</v>
          </cell>
          <cell r="C19">
            <v>29</v>
          </cell>
          <cell r="D19">
            <v>39</v>
          </cell>
          <cell r="E19">
            <v>7020</v>
          </cell>
        </row>
        <row r="20">
          <cell r="A20">
            <v>3302</v>
          </cell>
          <cell r="B20" t="str">
            <v>Holy Trinity CE Primary</v>
          </cell>
          <cell r="C20">
            <v>25</v>
          </cell>
          <cell r="D20">
            <v>24</v>
          </cell>
          <cell r="E20">
            <v>4320</v>
          </cell>
        </row>
        <row r="21">
          <cell r="A21">
            <v>2076</v>
          </cell>
          <cell r="B21" t="str">
            <v>Frithwood Primary</v>
          </cell>
          <cell r="C21">
            <v>27</v>
          </cell>
          <cell r="D21">
            <v>29</v>
          </cell>
          <cell r="E21">
            <v>5220</v>
          </cell>
        </row>
        <row r="22">
          <cell r="A22">
            <v>2051</v>
          </cell>
          <cell r="B22" t="str">
            <v>West Drayton Primary</v>
          </cell>
          <cell r="C22">
            <v>60</v>
          </cell>
          <cell r="D22">
            <v>60</v>
          </cell>
          <cell r="E22">
            <v>10800</v>
          </cell>
        </row>
        <row r="23">
          <cell r="A23">
            <v>5208</v>
          </cell>
          <cell r="B23" t="str">
            <v>St Andrew's CE Primary</v>
          </cell>
          <cell r="C23">
            <v>16</v>
          </cell>
          <cell r="D23">
            <v>16</v>
          </cell>
          <cell r="E23">
            <v>2880</v>
          </cell>
        </row>
        <row r="24">
          <cell r="A24">
            <v>2020</v>
          </cell>
          <cell r="B24" t="str">
            <v>Glebe Primary</v>
          </cell>
          <cell r="C24">
            <v>49</v>
          </cell>
          <cell r="D24">
            <v>49</v>
          </cell>
          <cell r="E24">
            <v>8820</v>
          </cell>
        </row>
        <row r="25">
          <cell r="A25">
            <v>2017</v>
          </cell>
          <cell r="B25" t="str">
            <v>Laurel Lane Primary</v>
          </cell>
          <cell r="C25">
            <v>42</v>
          </cell>
          <cell r="D25">
            <v>33</v>
          </cell>
          <cell r="E25">
            <v>5940</v>
          </cell>
        </row>
        <row r="26">
          <cell r="A26">
            <v>3400</v>
          </cell>
          <cell r="B26" t="str">
            <v>St Swithun Wells RC Primary</v>
          </cell>
          <cell r="C26">
            <v>20</v>
          </cell>
          <cell r="D26">
            <v>20</v>
          </cell>
          <cell r="E26">
            <v>3600</v>
          </cell>
        </row>
        <row r="27">
          <cell r="A27">
            <v>3300</v>
          </cell>
          <cell r="B27" t="str">
            <v>BWI CE Primary</v>
          </cell>
          <cell r="C27">
            <v>27</v>
          </cell>
          <cell r="D27">
            <v>25</v>
          </cell>
          <cell r="E27">
            <v>4500</v>
          </cell>
        </row>
        <row r="28">
          <cell r="A28">
            <v>2061</v>
          </cell>
          <cell r="B28" t="str">
            <v>Hermitage Primary</v>
          </cell>
          <cell r="C28">
            <v>35</v>
          </cell>
          <cell r="D28">
            <v>41</v>
          </cell>
          <cell r="E28">
            <v>7380</v>
          </cell>
        </row>
        <row r="29">
          <cell r="A29">
            <v>2049</v>
          </cell>
          <cell r="B29" t="str">
            <v>William Byrd Primary</v>
          </cell>
          <cell r="C29">
            <v>63</v>
          </cell>
          <cell r="D29">
            <v>63</v>
          </cell>
          <cell r="E29">
            <v>11340</v>
          </cell>
        </row>
        <row r="30">
          <cell r="A30">
            <v>2082</v>
          </cell>
          <cell r="B30" t="str">
            <v>Wood End Park</v>
          </cell>
          <cell r="C30">
            <v>43</v>
          </cell>
          <cell r="D30">
            <v>58</v>
          </cell>
          <cell r="E30">
            <v>10440</v>
          </cell>
        </row>
        <row r="31">
          <cell r="A31">
            <v>2084</v>
          </cell>
          <cell r="B31" t="str">
            <v>Cherry Lane Primary</v>
          </cell>
          <cell r="C31">
            <v>58</v>
          </cell>
          <cell r="D31">
            <v>68</v>
          </cell>
          <cell r="E31">
            <v>12240</v>
          </cell>
        </row>
        <row r="32">
          <cell r="A32">
            <v>3405</v>
          </cell>
          <cell r="B32" t="str">
            <v>Sacred Heart RC Primary</v>
          </cell>
          <cell r="C32">
            <v>55</v>
          </cell>
          <cell r="D32">
            <v>55</v>
          </cell>
          <cell r="E32">
            <v>9900</v>
          </cell>
        </row>
        <row r="33">
          <cell r="A33">
            <v>2016</v>
          </cell>
          <cell r="B33" t="str">
            <v>Deanesfield Primary</v>
          </cell>
          <cell r="C33">
            <v>62</v>
          </cell>
          <cell r="D33">
            <v>82</v>
          </cell>
          <cell r="E33">
            <v>14760</v>
          </cell>
        </row>
        <row r="34">
          <cell r="A34">
            <v>3306</v>
          </cell>
          <cell r="B34" t="str">
            <v>St Matthew's CE Primary</v>
          </cell>
          <cell r="C34">
            <v>40</v>
          </cell>
          <cell r="D34">
            <v>45</v>
          </cell>
          <cell r="E34">
            <v>8100</v>
          </cell>
        </row>
        <row r="35">
          <cell r="A35">
            <v>2029</v>
          </cell>
          <cell r="B35" t="str">
            <v>Heathrow Primary</v>
          </cell>
          <cell r="C35">
            <v>36</v>
          </cell>
          <cell r="D35">
            <v>38</v>
          </cell>
          <cell r="E35">
            <v>6840</v>
          </cell>
        </row>
        <row r="36">
          <cell r="A36">
            <v>3402</v>
          </cell>
          <cell r="B36" t="str">
            <v>St Bernadette's RC Primary</v>
          </cell>
          <cell r="C36">
            <v>42</v>
          </cell>
          <cell r="D36">
            <v>42</v>
          </cell>
          <cell r="E36">
            <v>7560</v>
          </cell>
        </row>
        <row r="37">
          <cell r="A37">
            <v>2010</v>
          </cell>
          <cell r="B37" t="str">
            <v>Colham Manor Primary</v>
          </cell>
          <cell r="C37">
            <v>61</v>
          </cell>
          <cell r="D37">
            <v>63</v>
          </cell>
          <cell r="E37">
            <v>11340</v>
          </cell>
        </row>
        <row r="38">
          <cell r="A38">
            <v>5206</v>
          </cell>
          <cell r="B38" t="str">
            <v>Charville Primary</v>
          </cell>
          <cell r="C38">
            <v>43</v>
          </cell>
          <cell r="D38">
            <v>64</v>
          </cell>
          <cell r="E38">
            <v>11520</v>
          </cell>
        </row>
        <row r="39">
          <cell r="A39">
            <v>4654</v>
          </cell>
          <cell r="B39" t="str">
            <v>Guru Nanak Sikh Academy</v>
          </cell>
          <cell r="C39">
            <v>53</v>
          </cell>
          <cell r="D39">
            <v>54</v>
          </cell>
          <cell r="E39">
            <v>9720</v>
          </cell>
        </row>
        <row r="40">
          <cell r="A40">
            <v>3403</v>
          </cell>
          <cell r="B40" t="str">
            <v>St Catherine's RC Primary</v>
          </cell>
          <cell r="C40">
            <v>22</v>
          </cell>
          <cell r="D40">
            <v>26</v>
          </cell>
          <cell r="E40">
            <v>4680</v>
          </cell>
        </row>
        <row r="41">
          <cell r="A41">
            <v>5200</v>
          </cell>
          <cell r="B41" t="str">
            <v>Oak Farm Infant</v>
          </cell>
          <cell r="C41">
            <v>73</v>
          </cell>
          <cell r="D41">
            <v>74</v>
          </cell>
          <cell r="E41">
            <v>13320</v>
          </cell>
        </row>
        <row r="42">
          <cell r="A42">
            <v>2002</v>
          </cell>
          <cell r="B42" t="str">
            <v>Brookside Primary</v>
          </cell>
          <cell r="C42">
            <v>28</v>
          </cell>
          <cell r="D42">
            <v>42</v>
          </cell>
          <cell r="E42">
            <v>7560</v>
          </cell>
        </row>
        <row r="43">
          <cell r="A43">
            <v>5204</v>
          </cell>
          <cell r="B43" t="str">
            <v>Hillside Infant</v>
          </cell>
          <cell r="C43">
            <v>46</v>
          </cell>
          <cell r="D43">
            <v>55</v>
          </cell>
          <cell r="E43">
            <v>9900</v>
          </cell>
        </row>
        <row r="44">
          <cell r="A44">
            <v>5211</v>
          </cell>
          <cell r="B44" t="str">
            <v>Hayes Park Primary</v>
          </cell>
          <cell r="C44">
            <v>72</v>
          </cell>
          <cell r="D44">
            <v>80</v>
          </cell>
          <cell r="E44">
            <v>14400</v>
          </cell>
        </row>
        <row r="45">
          <cell r="A45">
            <v>2033</v>
          </cell>
          <cell r="B45" t="str">
            <v>Lady Bankes Infant</v>
          </cell>
          <cell r="C45">
            <v>56</v>
          </cell>
          <cell r="D45">
            <v>69</v>
          </cell>
          <cell r="E45">
            <v>12420</v>
          </cell>
        </row>
        <row r="46">
          <cell r="A46">
            <v>2037</v>
          </cell>
          <cell r="B46" t="str">
            <v>Minet Infant</v>
          </cell>
          <cell r="C46">
            <v>79</v>
          </cell>
          <cell r="D46">
            <v>105</v>
          </cell>
          <cell r="E46">
            <v>18900</v>
          </cell>
        </row>
        <row r="47">
          <cell r="A47">
            <v>3410</v>
          </cell>
          <cell r="B47" t="str">
            <v>Cowley St Laurence</v>
          </cell>
          <cell r="C47">
            <v>37</v>
          </cell>
          <cell r="D47">
            <v>39</v>
          </cell>
          <cell r="E47">
            <v>7020</v>
          </cell>
        </row>
        <row r="48">
          <cell r="A48">
            <v>2021</v>
          </cell>
          <cell r="B48" t="str">
            <v>Hewens Primary</v>
          </cell>
          <cell r="C48">
            <v>38</v>
          </cell>
          <cell r="D48">
            <v>48</v>
          </cell>
          <cell r="E48">
            <v>8640</v>
          </cell>
        </row>
        <row r="49">
          <cell r="A49">
            <v>2039</v>
          </cell>
          <cell r="B49" t="str">
            <v>Newnham Infant</v>
          </cell>
          <cell r="C49">
            <v>53</v>
          </cell>
          <cell r="D49">
            <v>54</v>
          </cell>
          <cell r="E49">
            <v>9720</v>
          </cell>
        </row>
        <row r="50">
          <cell r="A50">
            <v>2012</v>
          </cell>
          <cell r="B50" t="str">
            <v>Coteford Infant</v>
          </cell>
          <cell r="C50">
            <v>49</v>
          </cell>
          <cell r="D50">
            <v>56</v>
          </cell>
          <cell r="E50">
            <v>10080</v>
          </cell>
        </row>
        <row r="51">
          <cell r="A51">
            <v>2048</v>
          </cell>
          <cell r="B51" t="str">
            <v>Ryefield Primary</v>
          </cell>
          <cell r="C51">
            <v>25</v>
          </cell>
          <cell r="D51">
            <v>37</v>
          </cell>
          <cell r="E51">
            <v>6660</v>
          </cell>
        </row>
        <row r="52">
          <cell r="A52">
            <v>2040</v>
          </cell>
          <cell r="B52" t="str">
            <v>Pinkwell Primary</v>
          </cell>
          <cell r="C52">
            <v>64</v>
          </cell>
          <cell r="D52">
            <v>71</v>
          </cell>
          <cell r="E52">
            <v>12780</v>
          </cell>
        </row>
        <row r="53">
          <cell r="A53">
            <v>2004</v>
          </cell>
          <cell r="B53" t="str">
            <v>The Breakspear School</v>
          </cell>
          <cell r="C53">
            <v>48</v>
          </cell>
          <cell r="D53">
            <v>50</v>
          </cell>
          <cell r="E53">
            <v>9000</v>
          </cell>
        </row>
        <row r="54">
          <cell r="A54">
            <v>2080</v>
          </cell>
          <cell r="B54" t="str">
            <v>Ruislip Gardens Primary</v>
          </cell>
          <cell r="C54">
            <v>36</v>
          </cell>
          <cell r="D54">
            <v>42</v>
          </cell>
          <cell r="E54">
            <v>7560</v>
          </cell>
        </row>
        <row r="55">
          <cell r="A55">
            <v>2078</v>
          </cell>
          <cell r="B55" t="str">
            <v>Cranford Park Primary</v>
          </cell>
          <cell r="C55">
            <v>105</v>
          </cell>
          <cell r="D55">
            <v>105</v>
          </cell>
          <cell r="E55">
            <v>18900</v>
          </cell>
        </row>
        <row r="56">
          <cell r="A56">
            <v>2001</v>
          </cell>
          <cell r="B56" t="str">
            <v>Belmore Primary</v>
          </cell>
          <cell r="C56">
            <v>54</v>
          </cell>
          <cell r="D56">
            <v>62</v>
          </cell>
          <cell r="E56">
            <v>11160</v>
          </cell>
        </row>
        <row r="57">
          <cell r="A57">
            <v>5203</v>
          </cell>
          <cell r="B57" t="str">
            <v>Grange Park Infant</v>
          </cell>
          <cell r="C57">
            <v>78</v>
          </cell>
          <cell r="D57">
            <v>86</v>
          </cell>
          <cell r="E57">
            <v>15480</v>
          </cell>
        </row>
        <row r="58">
          <cell r="A58">
            <v>1000</v>
          </cell>
          <cell r="B58" t="str">
            <v>McMillan Nursery</v>
          </cell>
          <cell r="C58">
            <v>111</v>
          </cell>
          <cell r="D58">
            <v>86</v>
          </cell>
          <cell r="E58">
            <v>15480</v>
          </cell>
        </row>
        <row r="59">
          <cell r="A59">
            <v>2019</v>
          </cell>
          <cell r="B59" t="str">
            <v>Field End Infant</v>
          </cell>
          <cell r="C59">
            <v>82</v>
          </cell>
          <cell r="D59">
            <v>88</v>
          </cell>
          <cell r="E59">
            <v>15840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YSFF Universal Hrs"/>
      <sheetName val="EYSFF Additional Hrs"/>
      <sheetName val="Synergy Summer 18"/>
      <sheetName val="Synergy Autumn 18"/>
      <sheetName val="Snergy Spring 19"/>
    </sheetNames>
    <sheetDataSet>
      <sheetData sheetId="1">
        <row r="134">
          <cell r="B134" t="str">
            <v>Shepherds Hill Nursery - 812 - Day nursery</v>
          </cell>
          <cell r="C134" t="str">
            <v>PVI</v>
          </cell>
          <cell r="E134">
            <v>4459.5</v>
          </cell>
          <cell r="F134">
            <v>2137</v>
          </cell>
          <cell r="G134">
            <v>2061.5</v>
          </cell>
        </row>
        <row r="135">
          <cell r="B135" t="str">
            <v>Sherene Althea Rutherford - 3477 - Childminder</v>
          </cell>
          <cell r="C135" t="str">
            <v>PVI</v>
          </cell>
          <cell r="E135">
            <v>0</v>
          </cell>
          <cell r="F135">
            <v>0</v>
          </cell>
          <cell r="G135">
            <v>180</v>
          </cell>
        </row>
        <row r="136">
          <cell r="B136" t="str">
            <v>Siobhan Mary Chatburn - 581 - Childminder</v>
          </cell>
          <cell r="C136" t="str">
            <v>PVI</v>
          </cell>
          <cell r="E136">
            <v>390</v>
          </cell>
          <cell r="F136">
            <v>390</v>
          </cell>
          <cell r="G136">
            <v>540</v>
          </cell>
        </row>
        <row r="137">
          <cell r="B137" t="str">
            <v>Smarty's Nursery - West Drayton - 3471 - Day nursery</v>
          </cell>
          <cell r="C137" t="str">
            <v>PVI</v>
          </cell>
          <cell r="E137">
            <v>780</v>
          </cell>
          <cell r="F137">
            <v>195</v>
          </cell>
          <cell r="G137">
            <v>360</v>
          </cell>
        </row>
        <row r="138">
          <cell r="B138" t="str">
            <v>Smarty's Nursery - Ruislip - 644 - Day nursery</v>
          </cell>
          <cell r="C138" t="str">
            <v>PVI</v>
          </cell>
          <cell r="E138">
            <v>1365</v>
          </cell>
          <cell r="F138">
            <v>1170</v>
          </cell>
          <cell r="G138">
            <v>720</v>
          </cell>
        </row>
        <row r="139">
          <cell r="B139" t="str">
            <v>Smarty's Nursery North Hayes - 3736 - Day nursery</v>
          </cell>
          <cell r="C139" t="str">
            <v>PVI</v>
          </cell>
          <cell r="E139">
            <v>390</v>
          </cell>
          <cell r="F139">
            <v>0</v>
          </cell>
          <cell r="G139">
            <v>720</v>
          </cell>
        </row>
        <row r="140">
          <cell r="B140" t="str">
            <v>Sonia Louise Jarvis - 2322 - Childminder</v>
          </cell>
          <cell r="C140" t="str">
            <v>PVI</v>
          </cell>
          <cell r="E140">
            <v>0</v>
          </cell>
          <cell r="F140">
            <v>390</v>
          </cell>
          <cell r="G140">
            <v>360</v>
          </cell>
        </row>
        <row r="141">
          <cell r="B141" t="str">
            <v>South Ruislip Early Years &amp; Children's Centre - 2311 - Day nursery</v>
          </cell>
          <cell r="C141" t="str">
            <v>PVI</v>
          </cell>
          <cell r="E141">
            <v>5786</v>
          </cell>
          <cell r="F141">
            <v>2295</v>
          </cell>
          <cell r="G141">
            <v>1176</v>
          </cell>
        </row>
        <row r="142">
          <cell r="B142" t="str">
            <v>St Helen's College Limited - 273 - Nursery Units of Independent Schools</v>
          </cell>
          <cell r="C142" t="str">
            <v>PVI</v>
          </cell>
          <cell r="E142">
            <v>8250</v>
          </cell>
          <cell r="F142">
            <v>0</v>
          </cell>
          <cell r="G142">
            <v>0</v>
          </cell>
        </row>
        <row r="143">
          <cell r="B143" t="str">
            <v>St Johns School - 277 - Nursery Units of Independent Schools</v>
          </cell>
          <cell r="C143" t="str">
            <v>PVI</v>
          </cell>
          <cell r="E143">
            <v>0</v>
          </cell>
          <cell r="F143">
            <v>0</v>
          </cell>
          <cell r="G143">
            <v>0</v>
          </cell>
        </row>
        <row r="144">
          <cell r="B144" t="str">
            <v>St Martins Kindergarten - 249 - Nursery Units of Independent Schools</v>
          </cell>
          <cell r="C144" t="str">
            <v>PVI</v>
          </cell>
          <cell r="E144">
            <v>0</v>
          </cell>
          <cell r="F144">
            <v>0</v>
          </cell>
          <cell r="G144">
            <v>0</v>
          </cell>
        </row>
        <row r="145">
          <cell r="B145" t="str">
            <v>St Vincent's Nursery Ltd - 816 - Day nursery</v>
          </cell>
          <cell r="C145" t="str">
            <v>PVI</v>
          </cell>
          <cell r="E145">
            <v>3615</v>
          </cell>
          <cell r="F145">
            <v>2535</v>
          </cell>
          <cell r="G145">
            <v>2520</v>
          </cell>
        </row>
        <row r="146">
          <cell r="B146" t="str">
            <v>Stepping Stones Nursery - 3332 - Day nursery</v>
          </cell>
          <cell r="C146" t="str">
            <v>PVI</v>
          </cell>
          <cell r="E146">
            <v>0</v>
          </cell>
          <cell r="F146">
            <v>195</v>
          </cell>
          <cell r="G146">
            <v>0</v>
          </cell>
        </row>
        <row r="147">
          <cell r="B147" t="str">
            <v>Sunflower House Nursery Cowley - 3651 - Day nursery</v>
          </cell>
          <cell r="C147" t="str">
            <v>PVI</v>
          </cell>
          <cell r="E147">
            <v>3030</v>
          </cell>
          <cell r="F147">
            <v>975</v>
          </cell>
          <cell r="G147">
            <v>1080</v>
          </cell>
        </row>
        <row r="148">
          <cell r="B148" t="str">
            <v>Sunflower House Nursery-Hillingdon - 3833 - Day nursery</v>
          </cell>
          <cell r="C148" t="str">
            <v>PVI</v>
          </cell>
          <cell r="E148">
            <v>2730</v>
          </cell>
          <cell r="F148">
            <v>1560</v>
          </cell>
          <cell r="G148">
            <v>1800</v>
          </cell>
        </row>
        <row r="149">
          <cell r="B149" t="str">
            <v>Susan Jane Newbey - 302 - Childminder</v>
          </cell>
          <cell r="C149" t="str">
            <v>PVI</v>
          </cell>
          <cell r="E149">
            <v>195</v>
          </cell>
          <cell r="F149">
            <v>195</v>
          </cell>
          <cell r="G149">
            <v>180</v>
          </cell>
        </row>
        <row r="150">
          <cell r="B150" t="str">
            <v>Suzanne Morris - 394 - Childminder</v>
          </cell>
          <cell r="C150" t="str">
            <v>PVI</v>
          </cell>
          <cell r="E150">
            <v>0</v>
          </cell>
          <cell r="F150">
            <v>0</v>
          </cell>
          <cell r="G150">
            <v>180</v>
          </cell>
        </row>
        <row r="151">
          <cell r="B151" t="str">
            <v>Page, Suzanne Kay - 327 - Childminder</v>
          </cell>
          <cell r="C151" t="str">
            <v>PVI</v>
          </cell>
          <cell r="E151">
            <v>0</v>
          </cell>
          <cell r="F151">
            <v>60</v>
          </cell>
          <cell r="G151">
            <v>180</v>
          </cell>
        </row>
        <row r="152">
          <cell r="B152" t="str">
            <v>Sweetcroft Day Care - 800 - Day nursery</v>
          </cell>
          <cell r="C152" t="str">
            <v>PVI</v>
          </cell>
          <cell r="E152">
            <v>4095</v>
          </cell>
          <cell r="F152">
            <v>3030</v>
          </cell>
          <cell r="G152">
            <v>4320</v>
          </cell>
        </row>
        <row r="153">
          <cell r="B153" t="str">
            <v>Tanya Freeman - 3871 - Childminder</v>
          </cell>
          <cell r="C153" t="str">
            <v>PVI</v>
          </cell>
          <cell r="E153">
            <v>390</v>
          </cell>
          <cell r="F153">
            <v>0</v>
          </cell>
          <cell r="G153">
            <v>180</v>
          </cell>
        </row>
        <row r="154">
          <cell r="B154" t="str">
            <v>Tara Jane Perrett - 388 - Childminder</v>
          </cell>
          <cell r="C154" t="str">
            <v>PVI</v>
          </cell>
          <cell r="E154">
            <v>0</v>
          </cell>
          <cell r="F154">
            <v>390</v>
          </cell>
          <cell r="G154">
            <v>540</v>
          </cell>
        </row>
        <row r="155">
          <cell r="B155" t="str">
            <v>Tara Kindergarden Uxbridge - 889 - Day nursery</v>
          </cell>
          <cell r="C155" t="str">
            <v>PVI</v>
          </cell>
          <cell r="E155">
            <v>2145</v>
          </cell>
          <cell r="F155">
            <v>1485</v>
          </cell>
          <cell r="G155">
            <v>1980</v>
          </cell>
        </row>
        <row r="156">
          <cell r="B156" t="str">
            <v>The Eye Nursery Limited - 306 - Day nursery</v>
          </cell>
          <cell r="C156" t="str">
            <v>PVI</v>
          </cell>
          <cell r="E156">
            <v>585</v>
          </cell>
          <cell r="F156">
            <v>689</v>
          </cell>
          <cell r="G156">
            <v>1620</v>
          </cell>
        </row>
        <row r="157">
          <cell r="B157" t="str">
            <v>The Growing Tree Nursery - 799 - Day nursery</v>
          </cell>
          <cell r="C157" t="str">
            <v>PVI</v>
          </cell>
          <cell r="E157">
            <v>6435</v>
          </cell>
          <cell r="F157">
            <v>4290</v>
          </cell>
          <cell r="G157">
            <v>5760</v>
          </cell>
        </row>
        <row r="158">
          <cell r="B158" t="str">
            <v>The Hall School (within the Grange) - 261 - Nursery Units of Independent Schools</v>
          </cell>
          <cell r="C158" t="str">
            <v>PVI</v>
          </cell>
          <cell r="E158">
            <v>0</v>
          </cell>
          <cell r="F158">
            <v>180</v>
          </cell>
          <cell r="G158">
            <v>900</v>
          </cell>
        </row>
        <row r="159">
          <cell r="B159" t="str">
            <v>The Homestead Childcare - 3770 - Day nursery</v>
          </cell>
          <cell r="C159" t="str">
            <v>PVI</v>
          </cell>
          <cell r="E159">
            <v>1755</v>
          </cell>
          <cell r="F159">
            <v>630</v>
          </cell>
          <cell r="G159">
            <v>900</v>
          </cell>
        </row>
        <row r="160">
          <cell r="B160" t="str">
            <v>The Little Learners Montessori Northwood - 3544 - Day nursery</v>
          </cell>
          <cell r="C160" t="str">
            <v>PVI</v>
          </cell>
          <cell r="E160">
            <v>1950</v>
          </cell>
          <cell r="F160">
            <v>390</v>
          </cell>
          <cell r="G160">
            <v>900</v>
          </cell>
        </row>
        <row r="161">
          <cell r="B161" t="str">
            <v>The Young Ones Ltd - 883 - Day nursery</v>
          </cell>
          <cell r="C161" t="str">
            <v>PVI</v>
          </cell>
          <cell r="E161">
            <v>2020</v>
          </cell>
          <cell r="F161">
            <v>1625</v>
          </cell>
          <cell r="G161">
            <v>1980</v>
          </cell>
        </row>
        <row r="162">
          <cell r="B162" t="str">
            <v>Tinies Nursery Northwood - 3820 - Day nursery</v>
          </cell>
          <cell r="C162" t="str">
            <v>PVI</v>
          </cell>
          <cell r="E162">
            <v>3240.5</v>
          </cell>
          <cell r="F162">
            <v>1560</v>
          </cell>
          <cell r="G162">
            <v>2640</v>
          </cell>
        </row>
        <row r="163">
          <cell r="B163" t="str">
            <v>Tiny Gems Day Care - 3299 - Day nursery</v>
          </cell>
          <cell r="C163" t="str">
            <v>PVI</v>
          </cell>
          <cell r="E163">
            <v>975</v>
          </cell>
          <cell r="F163">
            <v>975</v>
          </cell>
          <cell r="G163">
            <v>900</v>
          </cell>
        </row>
        <row r="164">
          <cell r="B164" t="str">
            <v>Tiny Muddy Boots - 3923 - Day nursery</v>
          </cell>
          <cell r="C164" t="str">
            <v>PVI</v>
          </cell>
          <cell r="E164">
            <v>0</v>
          </cell>
          <cell r="F164">
            <v>0</v>
          </cell>
          <cell r="G164">
            <v>180</v>
          </cell>
        </row>
        <row r="165">
          <cell r="B165" t="str">
            <v>Tracy Patricia Hutchinson - 331 - Childminder</v>
          </cell>
          <cell r="C165" t="str">
            <v>PVI</v>
          </cell>
          <cell r="E165">
            <v>0</v>
          </cell>
          <cell r="F165">
            <v>0</v>
          </cell>
          <cell r="G165">
            <v>180</v>
          </cell>
        </row>
        <row r="166">
          <cell r="B166" t="str">
            <v>Tresha Gockelen-MacDougall - 487 - Childminder</v>
          </cell>
          <cell r="C166" t="str">
            <v>PVI</v>
          </cell>
          <cell r="E166">
            <v>242</v>
          </cell>
          <cell r="F166">
            <v>0</v>
          </cell>
          <cell r="G166">
            <v>143</v>
          </cell>
        </row>
        <row r="167">
          <cell r="B167" t="str">
            <v>Twinkle Stars Montessori Nursery - 2153 - Day nursery</v>
          </cell>
          <cell r="C167" t="str">
            <v>PVI</v>
          </cell>
          <cell r="E167">
            <v>1170</v>
          </cell>
          <cell r="F167">
            <v>780</v>
          </cell>
          <cell r="G167">
            <v>1080</v>
          </cell>
        </row>
        <row r="168">
          <cell r="B168" t="str">
            <v>Twinkletotz Day Nursery Ltd - 2262 - Day nursery</v>
          </cell>
          <cell r="C168" t="str">
            <v>PVI</v>
          </cell>
          <cell r="E168">
            <v>2400</v>
          </cell>
          <cell r="F168">
            <v>585</v>
          </cell>
          <cell r="G168">
            <v>2700</v>
          </cell>
        </row>
        <row r="169">
          <cell r="B169" t="str">
            <v>Uxbridge Early Years Centre - 875 - Day nursery</v>
          </cell>
          <cell r="C169" t="str">
            <v>PVI</v>
          </cell>
          <cell r="E169">
            <v>1043</v>
          </cell>
          <cell r="F169">
            <v>1122</v>
          </cell>
          <cell r="G169">
            <v>1083.5</v>
          </cell>
        </row>
        <row r="170">
          <cell r="B170" t="str">
            <v>Wendy Alice Clear - 612 - Childminder</v>
          </cell>
          <cell r="C170" t="str">
            <v>PVI</v>
          </cell>
          <cell r="E170">
            <v>195</v>
          </cell>
          <cell r="F170">
            <v>0</v>
          </cell>
          <cell r="G170">
            <v>0</v>
          </cell>
        </row>
        <row r="171">
          <cell r="B171" t="str">
            <v>Wetherby House Montessori Ltd - 3806 - Day nursery</v>
          </cell>
          <cell r="C171" t="str">
            <v>PVI</v>
          </cell>
          <cell r="E171">
            <v>780</v>
          </cell>
          <cell r="F171">
            <v>780</v>
          </cell>
          <cell r="G171">
            <v>720</v>
          </cell>
        </row>
        <row r="172">
          <cell r="B172" t="str">
            <v>White House Nursery - 871 - Day nursery</v>
          </cell>
          <cell r="C172" t="str">
            <v>PVI</v>
          </cell>
          <cell r="E172">
            <v>4995</v>
          </cell>
          <cell r="F172">
            <v>2145</v>
          </cell>
          <cell r="G172">
            <v>1800</v>
          </cell>
        </row>
        <row r="173">
          <cell r="B173" t="str">
            <v>Wonderland Nursery Ltd - 832 - Day nursery</v>
          </cell>
          <cell r="C173" t="str">
            <v>PVI</v>
          </cell>
          <cell r="E173">
            <v>2535</v>
          </cell>
          <cell r="F173">
            <v>2340</v>
          </cell>
          <cell r="G173">
            <v>2340</v>
          </cell>
        </row>
        <row r="174">
          <cell r="B174" t="str">
            <v>Wonderland Nursery Ltd (Harmondsworth) - 877 - Day nursery</v>
          </cell>
          <cell r="C174" t="str">
            <v>PVI</v>
          </cell>
          <cell r="E174">
            <v>1365</v>
          </cell>
          <cell r="F174">
            <v>1950</v>
          </cell>
          <cell r="G174">
            <v>2160</v>
          </cell>
        </row>
        <row r="175">
          <cell r="B175" t="str">
            <v>Woodlands Nursery - 868 - Day nursery</v>
          </cell>
          <cell r="C175" t="str">
            <v>PVI</v>
          </cell>
          <cell r="E175">
            <v>4553</v>
          </cell>
          <cell r="F175">
            <v>2730</v>
          </cell>
          <cell r="G175">
            <v>3420</v>
          </cell>
        </row>
        <row r="176">
          <cell r="B176" t="str">
            <v>Woodlodge Montessori School - 2366 - Day nursery</v>
          </cell>
          <cell r="C176" t="str">
            <v>PVI</v>
          </cell>
          <cell r="E176">
            <v>3514</v>
          </cell>
          <cell r="F176">
            <v>1194</v>
          </cell>
          <cell r="G176">
            <v>1096</v>
          </cell>
        </row>
        <row r="177">
          <cell r="B177" t="str">
            <v>Yasmine Ahmed Bashe - 3479 - Childminder</v>
          </cell>
          <cell r="C177" t="str">
            <v>PVI</v>
          </cell>
          <cell r="E177">
            <v>0</v>
          </cell>
          <cell r="F177">
            <v>0</v>
          </cell>
          <cell r="G177">
            <v>0</v>
          </cell>
        </row>
        <row r="178">
          <cell r="B178" t="str">
            <v>Zuzana Miranda - 755 - Childminder</v>
          </cell>
          <cell r="C178" t="str">
            <v>PVI</v>
          </cell>
          <cell r="E178">
            <v>195</v>
          </cell>
          <cell r="F178">
            <v>0</v>
          </cell>
          <cell r="G178">
            <v>0</v>
          </cell>
        </row>
        <row r="179">
          <cell r="B179" t="str">
            <v>PVI Total</v>
          </cell>
          <cell r="C179">
            <v>0</v>
          </cell>
          <cell r="E179">
            <v>0</v>
          </cell>
          <cell r="F179">
            <v>0</v>
          </cell>
          <cell r="G179">
            <v>0</v>
          </cell>
        </row>
        <row r="180">
          <cell r="B180">
            <v>0</v>
          </cell>
          <cell r="C180">
            <v>0</v>
          </cell>
          <cell r="E180">
            <v>0</v>
          </cell>
          <cell r="F180">
            <v>0</v>
          </cell>
          <cell r="G180">
            <v>0</v>
          </cell>
        </row>
        <row r="181">
          <cell r="B181">
            <v>0</v>
          </cell>
          <cell r="C181">
            <v>0</v>
          </cell>
          <cell r="E181">
            <v>0</v>
          </cell>
          <cell r="F181">
            <v>0</v>
          </cell>
          <cell r="G181">
            <v>0</v>
          </cell>
        </row>
        <row r="182">
          <cell r="A182">
            <v>1000</v>
          </cell>
          <cell r="B182" t="str">
            <v>Mcmillan Nursery</v>
          </cell>
          <cell r="C182" t="str">
            <v>School</v>
          </cell>
          <cell r="D182">
            <v>0</v>
          </cell>
          <cell r="E182">
            <v>4875</v>
          </cell>
          <cell r="F182">
            <v>4875</v>
          </cell>
          <cell r="G182">
            <v>4500</v>
          </cell>
        </row>
        <row r="183">
          <cell r="A183">
            <v>2001</v>
          </cell>
          <cell r="B183" t="str">
            <v>Belmore Primary</v>
          </cell>
          <cell r="C183" t="str">
            <v>School</v>
          </cell>
          <cell r="D183">
            <v>0</v>
          </cell>
          <cell r="E183">
            <v>3120</v>
          </cell>
          <cell r="F183">
            <v>3120</v>
          </cell>
          <cell r="G183">
            <v>2880</v>
          </cell>
        </row>
        <row r="184">
          <cell r="A184">
            <v>2002</v>
          </cell>
          <cell r="B184" t="str">
            <v>Brookside Primary</v>
          </cell>
          <cell r="C184" t="str">
            <v>School</v>
          </cell>
          <cell r="D184">
            <v>0</v>
          </cell>
          <cell r="E184">
            <v>0</v>
          </cell>
          <cell r="F184">
            <v>0</v>
          </cell>
          <cell r="G184">
            <v>0</v>
          </cell>
        </row>
        <row r="185">
          <cell r="A185">
            <v>2003</v>
          </cell>
          <cell r="B185" t="str">
            <v>Bourne Primary</v>
          </cell>
          <cell r="C185" t="str">
            <v>School</v>
          </cell>
          <cell r="D185">
            <v>0</v>
          </cell>
          <cell r="E185">
            <v>0</v>
          </cell>
          <cell r="F185">
            <v>0</v>
          </cell>
          <cell r="G185">
            <v>0</v>
          </cell>
        </row>
        <row r="186">
          <cell r="A186">
            <v>2004</v>
          </cell>
          <cell r="B186" t="str">
            <v>The Breakspear School</v>
          </cell>
          <cell r="C186" t="str">
            <v>School</v>
          </cell>
          <cell r="D186">
            <v>0</v>
          </cell>
          <cell r="E186">
            <v>4095</v>
          </cell>
          <cell r="F186">
            <v>4095</v>
          </cell>
          <cell r="G186">
            <v>3780</v>
          </cell>
        </row>
        <row r="187">
          <cell r="A187">
            <v>2010</v>
          </cell>
          <cell r="B187" t="str">
            <v>Colham Manor Primary</v>
          </cell>
          <cell r="C187" t="str">
            <v>School</v>
          </cell>
          <cell r="D187">
            <v>0</v>
          </cell>
          <cell r="E187">
            <v>7686.25</v>
          </cell>
          <cell r="F187">
            <v>7686.25</v>
          </cell>
          <cell r="G187">
            <v>7095</v>
          </cell>
        </row>
        <row r="188">
          <cell r="A188">
            <v>2012</v>
          </cell>
          <cell r="B188" t="str">
            <v>Coteford Infant</v>
          </cell>
          <cell r="C188" t="str">
            <v>School</v>
          </cell>
          <cell r="D188">
            <v>0</v>
          </cell>
          <cell r="E188">
            <v>5265</v>
          </cell>
          <cell r="F188">
            <v>5265</v>
          </cell>
          <cell r="G188">
            <v>4860</v>
          </cell>
        </row>
        <row r="189">
          <cell r="A189">
            <v>2016</v>
          </cell>
          <cell r="B189" t="str">
            <v>Deanesfield Primary</v>
          </cell>
          <cell r="C189" t="str">
            <v>School</v>
          </cell>
          <cell r="D189">
            <v>0</v>
          </cell>
          <cell r="E189">
            <v>6435</v>
          </cell>
          <cell r="F189">
            <v>6435</v>
          </cell>
          <cell r="G189">
            <v>5940</v>
          </cell>
        </row>
        <row r="190">
          <cell r="A190">
            <v>2017</v>
          </cell>
          <cell r="B190" t="str">
            <v>Laurel Lane Primary</v>
          </cell>
          <cell r="C190" t="str">
            <v>School</v>
          </cell>
          <cell r="D190">
            <v>0</v>
          </cell>
          <cell r="E190">
            <v>780</v>
          </cell>
          <cell r="F190">
            <v>780</v>
          </cell>
          <cell r="G190">
            <v>720</v>
          </cell>
        </row>
        <row r="191">
          <cell r="A191">
            <v>2019</v>
          </cell>
          <cell r="B191" t="str">
            <v>Field End Infant</v>
          </cell>
          <cell r="C191" t="str">
            <v>School</v>
          </cell>
          <cell r="D191">
            <v>0</v>
          </cell>
          <cell r="E191">
            <v>5460</v>
          </cell>
          <cell r="F191">
            <v>5460</v>
          </cell>
          <cell r="G191">
            <v>5040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B1:G30"/>
  <sheetViews>
    <sheetView zoomScalePageLayoutView="0" workbookViewId="0" topLeftCell="A1">
      <selection activeCell="C11" sqref="C11"/>
    </sheetView>
  </sheetViews>
  <sheetFormatPr defaultColWidth="9.140625" defaultRowHeight="12.75"/>
  <cols>
    <col min="1" max="1" width="2.7109375" style="65" customWidth="1"/>
    <col min="2" max="2" width="18.421875" style="66" customWidth="1"/>
    <col min="3" max="3" width="104.00390625" style="65" customWidth="1"/>
    <col min="4" max="16384" width="9.140625" style="65" customWidth="1"/>
  </cols>
  <sheetData>
    <row r="1" ht="15.75">
      <c r="B1" s="81" t="s">
        <v>143</v>
      </c>
    </row>
    <row r="2" ht="13.5" thickBot="1"/>
    <row r="3" spans="2:3" s="75" customFormat="1" ht="13.5" thickBot="1">
      <c r="B3" s="183" t="s">
        <v>144</v>
      </c>
      <c r="C3" s="185"/>
    </row>
    <row r="4" spans="2:7" ht="153">
      <c r="B4" s="101"/>
      <c r="C4" s="160" t="s">
        <v>263</v>
      </c>
      <c r="G4" s="155"/>
    </row>
    <row r="5" spans="2:7" ht="90" customHeight="1">
      <c r="B5" s="67"/>
      <c r="C5" s="68" t="s">
        <v>264</v>
      </c>
      <c r="G5" s="155"/>
    </row>
    <row r="6" spans="2:7" ht="28.5" customHeight="1">
      <c r="B6" s="67">
        <v>1</v>
      </c>
      <c r="C6" s="68" t="s">
        <v>225</v>
      </c>
      <c r="G6" s="155"/>
    </row>
    <row r="7" spans="2:3" ht="103.5" customHeight="1">
      <c r="B7" s="67">
        <v>2</v>
      </c>
      <c r="C7" s="68" t="s">
        <v>265</v>
      </c>
    </row>
    <row r="8" spans="2:3" ht="25.5" customHeight="1">
      <c r="B8" s="67">
        <v>3</v>
      </c>
      <c r="C8" s="68" t="s">
        <v>202</v>
      </c>
    </row>
    <row r="9" spans="2:3" ht="42" customHeight="1">
      <c r="B9" s="67">
        <v>4</v>
      </c>
      <c r="C9" s="68" t="s">
        <v>266</v>
      </c>
    </row>
    <row r="10" spans="2:3" ht="38.25">
      <c r="B10" s="67">
        <v>5</v>
      </c>
      <c r="C10" s="68" t="s">
        <v>267</v>
      </c>
    </row>
    <row r="11" spans="2:3" ht="41.25" customHeight="1">
      <c r="B11" s="67">
        <v>6</v>
      </c>
      <c r="C11" s="68" t="s">
        <v>226</v>
      </c>
    </row>
    <row r="12" spans="2:3" ht="66" customHeight="1">
      <c r="B12" s="67">
        <v>7</v>
      </c>
      <c r="C12" s="68" t="s">
        <v>268</v>
      </c>
    </row>
    <row r="13" spans="2:3" ht="43.5" customHeight="1">
      <c r="B13" s="67">
        <v>8</v>
      </c>
      <c r="C13" s="68" t="s">
        <v>269</v>
      </c>
    </row>
    <row r="14" spans="2:3" ht="81.75" customHeight="1">
      <c r="B14" s="67">
        <v>9</v>
      </c>
      <c r="C14" s="68" t="s">
        <v>270</v>
      </c>
    </row>
    <row r="15" spans="2:3" ht="38.25">
      <c r="B15" s="200">
        <v>10</v>
      </c>
      <c r="C15" s="68" t="s">
        <v>271</v>
      </c>
    </row>
    <row r="16" spans="2:3" ht="26.25" thickBot="1">
      <c r="B16" s="69">
        <v>11</v>
      </c>
      <c r="C16" s="70" t="s">
        <v>227</v>
      </c>
    </row>
    <row r="17" spans="2:3" ht="13.5" thickBot="1">
      <c r="B17" s="149"/>
      <c r="C17" s="150"/>
    </row>
    <row r="18" spans="2:3" ht="13.5" thickBot="1">
      <c r="B18" s="183" t="s">
        <v>159</v>
      </c>
      <c r="C18" s="184"/>
    </row>
    <row r="19" spans="2:5" s="75" customFormat="1" ht="127.5">
      <c r="B19" s="101">
        <v>12</v>
      </c>
      <c r="C19" s="161" t="s">
        <v>303</v>
      </c>
      <c r="E19" s="166"/>
    </row>
    <row r="20" spans="2:3" ht="65.25" customHeight="1">
      <c r="B20" s="67">
        <v>13</v>
      </c>
      <c r="C20" s="162" t="s">
        <v>304</v>
      </c>
    </row>
    <row r="21" spans="2:3" ht="64.5" thickBot="1">
      <c r="B21" s="69">
        <v>14</v>
      </c>
      <c r="C21" s="163" t="s">
        <v>302</v>
      </c>
    </row>
    <row r="22" spans="2:3" ht="13.5" thickBot="1">
      <c r="B22" s="183"/>
      <c r="C22" s="185"/>
    </row>
    <row r="23" spans="2:3" ht="13.5" thickBot="1">
      <c r="B23" s="209" t="s">
        <v>256</v>
      </c>
      <c r="C23" s="210"/>
    </row>
    <row r="24" spans="2:3" ht="51">
      <c r="B24" s="101">
        <v>15</v>
      </c>
      <c r="C24" s="211" t="s">
        <v>280</v>
      </c>
    </row>
    <row r="25" spans="2:3" ht="63.75">
      <c r="B25" s="67">
        <v>16</v>
      </c>
      <c r="C25" s="212" t="s">
        <v>281</v>
      </c>
    </row>
    <row r="26" spans="2:3" ht="51">
      <c r="B26" s="67">
        <v>17</v>
      </c>
      <c r="C26" s="212" t="s">
        <v>282</v>
      </c>
    </row>
    <row r="27" spans="2:3" ht="51">
      <c r="B27" s="67">
        <v>18</v>
      </c>
      <c r="C27" s="212" t="s">
        <v>283</v>
      </c>
    </row>
    <row r="28" spans="2:3" ht="63.75">
      <c r="B28" s="67">
        <v>19</v>
      </c>
      <c r="C28" s="212" t="s">
        <v>284</v>
      </c>
    </row>
    <row r="29" spans="2:3" ht="12.75">
      <c r="B29" s="213" t="s">
        <v>279</v>
      </c>
      <c r="C29" s="212" t="s">
        <v>292</v>
      </c>
    </row>
    <row r="30" spans="2:3" ht="39" thickBot="1">
      <c r="B30" s="69">
        <v>22</v>
      </c>
      <c r="C30" s="70" t="s">
        <v>285</v>
      </c>
    </row>
  </sheetData>
  <sheetProtection/>
  <printOptions/>
  <pageMargins left="0.2362204724409449" right="0.2362204724409449" top="0.4724409448818898" bottom="0.4330708661417323" header="0.2755905511811024" footer="0.2362204724409449"/>
  <pageSetup fitToHeight="2" horizontalDpi="600" verticalDpi="600" orientation="portrait" paperSize="9" scale="82" r:id="rId1"/>
  <rowBreaks count="1" manualBreakCount="1">
    <brk id="16" min="1" max="2"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N94"/>
  <sheetViews>
    <sheetView tabSelected="1" zoomScalePageLayoutView="0" workbookViewId="0" topLeftCell="A1">
      <selection activeCell="J7" sqref="J7"/>
    </sheetView>
  </sheetViews>
  <sheetFormatPr defaultColWidth="9.140625" defaultRowHeight="12.75"/>
  <cols>
    <col min="1" max="1" width="13.57421875" style="0" customWidth="1"/>
    <col min="2" max="2" width="47.140625" style="0" customWidth="1"/>
    <col min="3" max="3" width="12.28125" style="0" bestFit="1" customWidth="1"/>
    <col min="4" max="4" width="10.28125" style="0" customWidth="1"/>
    <col min="5" max="5" width="21.8515625" style="0" customWidth="1"/>
    <col min="6" max="6" width="3.00390625" style="0" customWidth="1"/>
    <col min="7" max="7" width="6.7109375" style="47" bestFit="1" customWidth="1"/>
    <col min="9" max="9" width="12.28125" style="0" bestFit="1" customWidth="1"/>
    <col min="12" max="12" width="9.140625" style="0" customWidth="1"/>
    <col min="13" max="13" width="36.7109375" style="0" hidden="1" customWidth="1"/>
    <col min="14" max="14" width="9.140625" style="0" hidden="1" customWidth="1"/>
    <col min="15" max="15" width="9.140625" style="0" customWidth="1"/>
  </cols>
  <sheetData>
    <row r="1" ht="18.75" thickBot="1">
      <c r="B1" s="78"/>
    </row>
    <row r="2" spans="1:2" ht="13.5" thickBot="1">
      <c r="A2" s="5" t="s">
        <v>86</v>
      </c>
      <c r="B2" s="15" t="s">
        <v>103</v>
      </c>
    </row>
    <row r="3" spans="1:14" ht="13.5" thickBot="1">
      <c r="A3" s="5" t="s">
        <v>104</v>
      </c>
      <c r="B3" s="14">
        <f>VLOOKUP(B2,M:N,2,0)</f>
        <v>0</v>
      </c>
      <c r="M3" s="10" t="s">
        <v>103</v>
      </c>
      <c r="N3" s="10"/>
    </row>
    <row r="4" spans="13:14" ht="12.75">
      <c r="M4" s="10" t="s">
        <v>53</v>
      </c>
      <c r="N4" s="159">
        <v>5412</v>
      </c>
    </row>
    <row r="5" spans="2:14" ht="12.75">
      <c r="B5" s="40"/>
      <c r="C5" s="41" t="s">
        <v>78</v>
      </c>
      <c r="D5" s="41" t="s">
        <v>73</v>
      </c>
      <c r="E5" s="41" t="s">
        <v>79</v>
      </c>
      <c r="G5" s="61" t="s">
        <v>115</v>
      </c>
      <c r="M5" s="79" t="s">
        <v>154</v>
      </c>
      <c r="N5" s="159">
        <v>2001</v>
      </c>
    </row>
    <row r="6" spans="2:14" ht="12.75">
      <c r="B6" s="16" t="s">
        <v>75</v>
      </c>
      <c r="C6" s="17">
        <f>'All Schools'!AB3</f>
        <v>3186.17</v>
      </c>
      <c r="D6" s="18" t="e">
        <f>VLOOKUP($B$3,'All Schools'!$A$5:$BW$95,4,0)</f>
        <v>#N/A</v>
      </c>
      <c r="E6" s="19" t="e">
        <f>C6*D6</f>
        <v>#N/A</v>
      </c>
      <c r="G6" s="62">
        <v>1</v>
      </c>
      <c r="M6" s="79" t="s">
        <v>46</v>
      </c>
      <c r="N6" s="159">
        <v>4600</v>
      </c>
    </row>
    <row r="7" spans="2:14" ht="12.75">
      <c r="B7" s="20" t="s">
        <v>76</v>
      </c>
      <c r="C7" s="21">
        <f>'All Schools'!AC3</f>
        <v>4131.37</v>
      </c>
      <c r="D7" s="22" t="e">
        <f>VLOOKUP($B$3,'All Schools'!$A$5:$BW$95,6,0)</f>
        <v>#N/A</v>
      </c>
      <c r="E7" s="23" t="e">
        <f>C7*D7</f>
        <v>#N/A</v>
      </c>
      <c r="G7" s="62">
        <v>1</v>
      </c>
      <c r="I7" s="2"/>
      <c r="M7" s="10" t="s">
        <v>146</v>
      </c>
      <c r="N7" s="159">
        <v>5400</v>
      </c>
    </row>
    <row r="8" spans="2:14" ht="12.75">
      <c r="B8" s="24" t="s">
        <v>77</v>
      </c>
      <c r="C8" s="25">
        <f>'All Schools'!AD3</f>
        <v>4721.57</v>
      </c>
      <c r="D8" s="26" t="e">
        <f>VLOOKUP($B$3,'All Schools'!$A$5:$BW$95,7,0)</f>
        <v>#N/A</v>
      </c>
      <c r="E8" s="27" t="e">
        <f>C8*D8</f>
        <v>#N/A</v>
      </c>
      <c r="G8" s="62">
        <v>1</v>
      </c>
      <c r="I8" s="2"/>
      <c r="M8" s="10" t="s">
        <v>32</v>
      </c>
      <c r="N8" s="159">
        <v>3401</v>
      </c>
    </row>
    <row r="9" spans="2:14" ht="12.75">
      <c r="B9" s="28" t="s">
        <v>64</v>
      </c>
      <c r="C9" s="28"/>
      <c r="D9" s="29" t="e">
        <f>SUM(D6:D8)</f>
        <v>#N/A</v>
      </c>
      <c r="E9" s="30" t="e">
        <f>SUM(E6:E8)</f>
        <v>#N/A</v>
      </c>
      <c r="G9" s="62"/>
      <c r="I9" s="2"/>
      <c r="M9" s="10" t="s">
        <v>7</v>
      </c>
      <c r="N9" s="159">
        <v>2003</v>
      </c>
    </row>
    <row r="10" spans="4:14" ht="12.75">
      <c r="D10" s="9"/>
      <c r="E10" s="1"/>
      <c r="G10" s="63"/>
      <c r="M10" s="10" t="s">
        <v>147</v>
      </c>
      <c r="N10" s="159">
        <v>2002</v>
      </c>
    </row>
    <row r="11" spans="2:14" ht="12.75">
      <c r="B11" s="148" t="s">
        <v>170</v>
      </c>
      <c r="C11" s="17">
        <f>'All Schools'!AE3</f>
        <v>1012.51</v>
      </c>
      <c r="D11" s="18" t="e">
        <f>VLOOKUP($B$3,'All Schools'!$A$5:$BW$95,8,0)</f>
        <v>#N/A</v>
      </c>
      <c r="E11" s="19" t="e">
        <f>D11*C11</f>
        <v>#N/A</v>
      </c>
      <c r="G11" s="62">
        <v>2</v>
      </c>
      <c r="I11" s="2"/>
      <c r="M11" s="79" t="s">
        <v>98</v>
      </c>
      <c r="N11" s="159">
        <v>3300</v>
      </c>
    </row>
    <row r="12" spans="2:14" ht="12.75">
      <c r="B12" s="102" t="s">
        <v>171</v>
      </c>
      <c r="C12" s="21">
        <f>'All Schools'!AF3</f>
        <v>1316.263</v>
      </c>
      <c r="D12" s="22" t="e">
        <f>VLOOKUP($B$3,'All Schools'!$A$5:$BW$95,9,0)</f>
        <v>#N/A</v>
      </c>
      <c r="E12" s="23" t="e">
        <f>D12*C12</f>
        <v>#N/A</v>
      </c>
      <c r="G12" s="62">
        <v>2</v>
      </c>
      <c r="I12" s="2"/>
      <c r="M12" s="10" t="s">
        <v>42</v>
      </c>
      <c r="N12" s="159">
        <v>5206</v>
      </c>
    </row>
    <row r="13" spans="2:14" ht="12.75">
      <c r="B13" s="102" t="s">
        <v>172</v>
      </c>
      <c r="C13" s="21">
        <f>'All Schools'!AG3</f>
        <v>64.81</v>
      </c>
      <c r="D13" s="22" t="e">
        <f>VLOOKUP($B$3,'All Schools'!$A$5:$BW$95,10,0)</f>
        <v>#N/A</v>
      </c>
      <c r="E13" s="23" t="e">
        <f aca="true" t="shared" si="0" ref="E13:E29">D13*C13</f>
        <v>#N/A</v>
      </c>
      <c r="G13" s="62">
        <v>2</v>
      </c>
      <c r="I13" s="2"/>
      <c r="M13" s="79" t="s">
        <v>29</v>
      </c>
      <c r="N13" s="159">
        <v>2084</v>
      </c>
    </row>
    <row r="14" spans="2:14" ht="12.75">
      <c r="B14" s="102" t="s">
        <v>173</v>
      </c>
      <c r="C14" s="21">
        <f>'All Schools'!AH3</f>
        <v>129.62</v>
      </c>
      <c r="D14" s="22" t="e">
        <f>VLOOKUP($B$3,'All Schools'!$A$5:$BW$95,11,0)</f>
        <v>#N/A</v>
      </c>
      <c r="E14" s="23" t="e">
        <f t="shared" si="0"/>
        <v>#N/A</v>
      </c>
      <c r="G14" s="62">
        <v>2</v>
      </c>
      <c r="I14" s="2"/>
      <c r="M14" s="79" t="s">
        <v>8</v>
      </c>
      <c r="N14" s="159">
        <v>2010</v>
      </c>
    </row>
    <row r="15" spans="2:14" ht="12.75">
      <c r="B15" s="102" t="s">
        <v>174</v>
      </c>
      <c r="C15" s="21">
        <f>'All Schools'!AI3</f>
        <v>194.43</v>
      </c>
      <c r="D15" s="22" t="e">
        <f>VLOOKUP($B$3,'All Schools'!$A$5:$BW$95,12,0)</f>
        <v>#N/A</v>
      </c>
      <c r="E15" s="23" t="e">
        <f t="shared" si="0"/>
        <v>#N/A</v>
      </c>
      <c r="G15" s="62">
        <v>2</v>
      </c>
      <c r="I15" s="2"/>
      <c r="M15" s="10" t="s">
        <v>10</v>
      </c>
      <c r="N15" s="159">
        <v>2012</v>
      </c>
    </row>
    <row r="16" spans="2:14" ht="12.75">
      <c r="B16" s="102" t="s">
        <v>175</v>
      </c>
      <c r="C16" s="21">
        <f>'All Schools'!AJ3</f>
        <v>259.24</v>
      </c>
      <c r="D16" s="22" t="e">
        <f>VLOOKUP($B$3,'All Schools'!$A$5:$BW$95,13,0)</f>
        <v>#N/A</v>
      </c>
      <c r="E16" s="23" t="e">
        <f t="shared" si="0"/>
        <v>#N/A</v>
      </c>
      <c r="G16" s="62">
        <v>2</v>
      </c>
      <c r="I16" s="2"/>
      <c r="M16" s="10" t="s">
        <v>9</v>
      </c>
      <c r="N16" s="159">
        <v>2011</v>
      </c>
    </row>
    <row r="17" spans="2:14" ht="12.75">
      <c r="B17" s="102" t="s">
        <v>177</v>
      </c>
      <c r="C17" s="21">
        <f>'All Schools'!AK3</f>
        <v>324.05</v>
      </c>
      <c r="D17" s="22" t="e">
        <f>VLOOKUP($B$3,'All Schools'!$A$5:$BW$95,14,0)</f>
        <v>#N/A</v>
      </c>
      <c r="E17" s="23" t="e">
        <f t="shared" si="0"/>
        <v>#N/A</v>
      </c>
      <c r="G17" s="62">
        <v>2</v>
      </c>
      <c r="I17" s="2"/>
      <c r="M17" s="79" t="s">
        <v>129</v>
      </c>
      <c r="N17" s="159">
        <v>3410</v>
      </c>
    </row>
    <row r="18" spans="2:14" ht="12.75">
      <c r="B18" s="102" t="s">
        <v>176</v>
      </c>
      <c r="C18" s="21">
        <f>'All Schools'!AL3</f>
        <v>388.86</v>
      </c>
      <c r="D18" s="22" t="e">
        <f>VLOOKUP($B$3,'All Schools'!$A$5:$BW$95,15,0)</f>
        <v>#N/A</v>
      </c>
      <c r="E18" s="23" t="e">
        <f t="shared" si="0"/>
        <v>#N/A</v>
      </c>
      <c r="G18" s="62">
        <v>2</v>
      </c>
      <c r="I18" s="2"/>
      <c r="M18" s="10" t="s">
        <v>201</v>
      </c>
      <c r="N18" s="159">
        <v>2078</v>
      </c>
    </row>
    <row r="19" spans="2:14" ht="12.75">
      <c r="B19" s="102" t="s">
        <v>178</v>
      </c>
      <c r="C19" s="21">
        <f>'All Schools'!AM3</f>
        <v>84.25</v>
      </c>
      <c r="D19" s="22" t="e">
        <f>VLOOKUP($B$3,'All Schools'!$A$5:$BW$95,16,0)</f>
        <v>#N/A</v>
      </c>
      <c r="E19" s="23" t="e">
        <f t="shared" si="0"/>
        <v>#N/A</v>
      </c>
      <c r="G19" s="62">
        <v>2</v>
      </c>
      <c r="I19" s="2"/>
      <c r="M19" s="10" t="s">
        <v>150</v>
      </c>
      <c r="N19" s="159">
        <v>4009</v>
      </c>
    </row>
    <row r="20" spans="2:14" ht="12.75">
      <c r="B20" s="102" t="s">
        <v>179</v>
      </c>
      <c r="C20" s="21">
        <f>'All Schools'!AN3</f>
        <v>168.51</v>
      </c>
      <c r="D20" s="22" t="e">
        <f>VLOOKUP($B$3,'All Schools'!$A$5:$BW$95,17,0)</f>
        <v>#N/A</v>
      </c>
      <c r="E20" s="23" t="e">
        <f t="shared" si="0"/>
        <v>#N/A</v>
      </c>
      <c r="G20" s="62">
        <v>2</v>
      </c>
      <c r="I20" s="2"/>
      <c r="M20" s="10" t="s">
        <v>11</v>
      </c>
      <c r="N20" s="159">
        <v>2016</v>
      </c>
    </row>
    <row r="21" spans="2:14" ht="12.75">
      <c r="B21" s="102" t="s">
        <v>180</v>
      </c>
      <c r="C21" s="21">
        <f>'All Schools'!AO3</f>
        <v>252.76</v>
      </c>
      <c r="D21" s="22" t="e">
        <f>VLOOKUP($B$3,'All Schools'!$A$5:$BW$95,18,0)</f>
        <v>#N/A</v>
      </c>
      <c r="E21" s="23" t="e">
        <f t="shared" si="0"/>
        <v>#N/A</v>
      </c>
      <c r="G21" s="62">
        <v>2</v>
      </c>
      <c r="I21" s="2"/>
      <c r="M21" s="10" t="s">
        <v>31</v>
      </c>
      <c r="N21" s="159">
        <v>3307</v>
      </c>
    </row>
    <row r="22" spans="2:14" ht="12.75">
      <c r="B22" s="102" t="s">
        <v>181</v>
      </c>
      <c r="C22" s="21">
        <f>'All Schools'!AP3</f>
        <v>337.01</v>
      </c>
      <c r="D22" s="22" t="e">
        <f>VLOOKUP($B$3,'All Schools'!$A$5:$BW$95,19,0)</f>
        <v>#N/A</v>
      </c>
      <c r="E22" s="23" t="e">
        <f t="shared" si="0"/>
        <v>#N/A</v>
      </c>
      <c r="G22" s="62">
        <v>2</v>
      </c>
      <c r="I22" s="2"/>
      <c r="M22" s="74" t="s">
        <v>156</v>
      </c>
      <c r="N22" s="159">
        <v>2019</v>
      </c>
    </row>
    <row r="23" spans="2:14" ht="12.75">
      <c r="B23" s="102" t="s">
        <v>183</v>
      </c>
      <c r="C23" s="21">
        <f>'All Schools'!AQ3</f>
        <v>421.26</v>
      </c>
      <c r="D23" s="22" t="e">
        <f>VLOOKUP($B$3,'All Schools'!$A$5:$BW$95,20,0)</f>
        <v>#N/A</v>
      </c>
      <c r="E23" s="23" t="e">
        <f t="shared" si="0"/>
        <v>#N/A</v>
      </c>
      <c r="G23" s="62">
        <v>2</v>
      </c>
      <c r="I23" s="2"/>
      <c r="M23" s="10" t="s">
        <v>12</v>
      </c>
      <c r="N23" s="159">
        <v>2018</v>
      </c>
    </row>
    <row r="24" spans="2:14" ht="12.75">
      <c r="B24" s="102" t="s">
        <v>182</v>
      </c>
      <c r="C24" s="21">
        <f>'All Schools'!AR3</f>
        <v>505.52</v>
      </c>
      <c r="D24" s="22" t="e">
        <f>VLOOKUP($B$3,'All Schools'!$A$5:$BW$95,21,0)</f>
        <v>#N/A</v>
      </c>
      <c r="E24" s="23" t="e">
        <f t="shared" si="0"/>
        <v>#N/A</v>
      </c>
      <c r="G24" s="62">
        <v>2</v>
      </c>
      <c r="I24" s="2"/>
      <c r="M24" s="10" t="s">
        <v>26</v>
      </c>
      <c r="N24" s="159">
        <v>2076</v>
      </c>
    </row>
    <row r="25" spans="2:14" ht="12.75">
      <c r="B25" s="20" t="s">
        <v>80</v>
      </c>
      <c r="C25" s="21">
        <f>'All Schools'!AS3</f>
        <v>739.08</v>
      </c>
      <c r="D25" s="22" t="e">
        <f>VLOOKUP($B$3,'All Schools'!$A$5:$BW$95,22,0)</f>
        <v>#N/A</v>
      </c>
      <c r="E25" s="23" t="e">
        <f t="shared" si="0"/>
        <v>#N/A</v>
      </c>
      <c r="G25" s="62">
        <v>3</v>
      </c>
      <c r="I25" s="2"/>
      <c r="M25" s="10" t="s">
        <v>13</v>
      </c>
      <c r="N25" s="159">
        <v>2020</v>
      </c>
    </row>
    <row r="26" spans="2:14" ht="12.75">
      <c r="B26" s="20" t="s">
        <v>81</v>
      </c>
      <c r="C26" s="21">
        <f>'All Schools'!AT3</f>
        <v>1113.64</v>
      </c>
      <c r="D26" s="22" t="e">
        <f>VLOOKUP($B$3,'All Schools'!$A$5:$BW$95,23,0)</f>
        <v>#N/A</v>
      </c>
      <c r="E26" s="23" t="e">
        <f t="shared" si="0"/>
        <v>#N/A</v>
      </c>
      <c r="G26" s="62">
        <v>3</v>
      </c>
      <c r="I26" s="2"/>
      <c r="M26" s="73" t="s">
        <v>134</v>
      </c>
      <c r="N26" s="159">
        <v>5203</v>
      </c>
    </row>
    <row r="27" spans="2:14" ht="12.75">
      <c r="B27" s="102" t="s">
        <v>223</v>
      </c>
      <c r="C27" s="21">
        <f>'All Schools'!AU3</f>
        <v>590</v>
      </c>
      <c r="D27" s="22" t="e">
        <f>VLOOKUP($B$3,'All Schools'!$A$5:$BW$95,24,0)</f>
        <v>#N/A</v>
      </c>
      <c r="E27" s="23" t="e">
        <f t="shared" si="0"/>
        <v>#N/A</v>
      </c>
      <c r="G27" s="62">
        <v>4</v>
      </c>
      <c r="I27" s="2"/>
      <c r="M27" s="79" t="s">
        <v>39</v>
      </c>
      <c r="N27" s="159">
        <v>5202</v>
      </c>
    </row>
    <row r="28" spans="2:14" ht="12.75">
      <c r="B28" s="102" t="s">
        <v>224</v>
      </c>
      <c r="C28" s="21">
        <f>'All Schools'!AV3</f>
        <v>1650</v>
      </c>
      <c r="D28" s="22" t="e">
        <f>VLOOKUP($B$3,'All Schools'!$A$5:$BW$95,25,0)</f>
        <v>#N/A</v>
      </c>
      <c r="E28" s="23" t="e">
        <f t="shared" si="0"/>
        <v>#N/A</v>
      </c>
      <c r="G28" s="62">
        <v>5</v>
      </c>
      <c r="I28" s="2"/>
      <c r="M28" s="10" t="s">
        <v>47</v>
      </c>
      <c r="N28" s="159">
        <v>4654</v>
      </c>
    </row>
    <row r="29" spans="2:14" ht="12.75">
      <c r="B29" s="20" t="s">
        <v>82</v>
      </c>
      <c r="C29" s="21">
        <f>'All Schools'!AW3</f>
        <v>800</v>
      </c>
      <c r="D29" s="22" t="e">
        <f>VLOOKUP($B$3,'All Schools'!$A$5:$BW$95,26,0)</f>
        <v>#N/A</v>
      </c>
      <c r="E29" s="23" t="e">
        <f t="shared" si="0"/>
        <v>#N/A</v>
      </c>
      <c r="G29" s="62">
        <v>6</v>
      </c>
      <c r="I29" s="2"/>
      <c r="M29" s="10" t="s">
        <v>87</v>
      </c>
      <c r="N29" s="159">
        <v>2024</v>
      </c>
    </row>
    <row r="30" spans="2:14" ht="12.75">
      <c r="B30" s="20" t="s">
        <v>83</v>
      </c>
      <c r="C30" s="21">
        <f>'All Schools'!AX3</f>
        <v>1200</v>
      </c>
      <c r="D30" s="22" t="e">
        <f>VLOOKUP($B$3,'All Schools'!$A$5:$BW$95,27,0)</f>
        <v>#N/A</v>
      </c>
      <c r="E30" s="23" t="e">
        <f>D30*C30</f>
        <v>#N/A</v>
      </c>
      <c r="G30" s="62">
        <v>6</v>
      </c>
      <c r="I30" s="2"/>
      <c r="M30" s="79" t="s">
        <v>14</v>
      </c>
      <c r="N30" s="159">
        <v>2023</v>
      </c>
    </row>
    <row r="31" spans="2:14" ht="12.75">
      <c r="B31" s="31" t="s">
        <v>65</v>
      </c>
      <c r="C31" s="31"/>
      <c r="D31" s="31"/>
      <c r="E31" s="32" t="e">
        <f>SUM(E11:E30)</f>
        <v>#N/A</v>
      </c>
      <c r="G31" s="62"/>
      <c r="M31" s="10" t="s">
        <v>131</v>
      </c>
      <c r="N31" s="159">
        <v>5411</v>
      </c>
    </row>
    <row r="32" spans="5:14" ht="12.75">
      <c r="E32" s="1"/>
      <c r="G32" s="63"/>
      <c r="M32" s="10" t="s">
        <v>88</v>
      </c>
      <c r="N32" s="159">
        <v>2025</v>
      </c>
    </row>
    <row r="33" spans="2:14" ht="12.75">
      <c r="B33" s="16" t="s">
        <v>60</v>
      </c>
      <c r="C33" s="17">
        <v>140000</v>
      </c>
      <c r="D33" s="16"/>
      <c r="E33" s="19">
        <f>C33</f>
        <v>140000</v>
      </c>
      <c r="G33" s="62"/>
      <c r="I33" s="2"/>
      <c r="M33" s="10" t="s">
        <v>89</v>
      </c>
      <c r="N33" s="159">
        <v>2026</v>
      </c>
    </row>
    <row r="34" spans="2:14" ht="12.75">
      <c r="B34" s="20" t="s">
        <v>62</v>
      </c>
      <c r="C34" s="21"/>
      <c r="D34" s="20"/>
      <c r="E34" s="23" t="e">
        <f>VLOOKUP($B$3,'All Schools'!$A$5:$BW$95,52,0)</f>
        <v>#N/A</v>
      </c>
      <c r="G34" s="62">
        <v>7</v>
      </c>
      <c r="I34" s="2"/>
      <c r="M34" s="10" t="s">
        <v>100</v>
      </c>
      <c r="N34" s="159">
        <v>5401</v>
      </c>
    </row>
    <row r="35" spans="2:14" ht="12.75">
      <c r="B35" s="102" t="s">
        <v>287</v>
      </c>
      <c r="C35" s="21"/>
      <c r="D35" s="20"/>
      <c r="E35" s="23" t="e">
        <f>VLOOKUP($B$3,'All Schools'!$A$5:$BW$95,53,0)</f>
        <v>#N/A</v>
      </c>
      <c r="G35" s="62">
        <v>7</v>
      </c>
      <c r="M35" s="10" t="s">
        <v>43</v>
      </c>
      <c r="N35" s="159">
        <v>5211</v>
      </c>
    </row>
    <row r="36" spans="2:14" ht="12.75">
      <c r="B36" s="20" t="s">
        <v>84</v>
      </c>
      <c r="C36" s="21"/>
      <c r="D36" s="20"/>
      <c r="E36" s="23" t="e">
        <f>VLOOKUP($B$3,'All Schools'!$A$5:$BW$95,54,0)</f>
        <v>#N/A</v>
      </c>
      <c r="G36" s="62"/>
      <c r="M36" s="79" t="s">
        <v>145</v>
      </c>
      <c r="N36" s="159">
        <v>4002</v>
      </c>
    </row>
    <row r="37" spans="2:14" ht="12.75">
      <c r="B37" s="20" t="s">
        <v>63</v>
      </c>
      <c r="C37" s="21"/>
      <c r="D37" s="20"/>
      <c r="E37" s="23" t="e">
        <f>VLOOKUP($B$3,'All Schools'!$A$5:$BW$95,55,0)</f>
        <v>#N/A</v>
      </c>
      <c r="G37" s="62"/>
      <c r="M37" s="10" t="s">
        <v>90</v>
      </c>
      <c r="N37" s="159">
        <v>2029</v>
      </c>
    </row>
    <row r="38" spans="2:14" ht="12.75">
      <c r="B38" s="104" t="s">
        <v>288</v>
      </c>
      <c r="C38" s="25"/>
      <c r="D38" s="24"/>
      <c r="E38" s="27" t="e">
        <f>VLOOKUP(B3,'All Schools'!A5:BF95,56,0)</f>
        <v>#N/A</v>
      </c>
      <c r="G38" s="62"/>
      <c r="M38" s="79" t="s">
        <v>23</v>
      </c>
      <c r="N38" s="159">
        <v>2061</v>
      </c>
    </row>
    <row r="39" spans="2:14" ht="12.75">
      <c r="B39" s="31" t="s">
        <v>85</v>
      </c>
      <c r="C39" s="31"/>
      <c r="D39" s="31"/>
      <c r="E39" s="32" t="e">
        <f>SUM(E33:E38)</f>
        <v>#N/A</v>
      </c>
      <c r="G39" s="62"/>
      <c r="M39" s="10" t="s">
        <v>51</v>
      </c>
      <c r="N39" s="159">
        <v>5407</v>
      </c>
    </row>
    <row r="40" spans="5:14" ht="12.75">
      <c r="E40" s="1"/>
      <c r="G40" s="63"/>
      <c r="M40" s="79" t="s">
        <v>148</v>
      </c>
      <c r="N40" s="159">
        <v>2021</v>
      </c>
    </row>
    <row r="41" spans="2:14" ht="12.75">
      <c r="B41" s="31" t="s">
        <v>108</v>
      </c>
      <c r="C41" s="31"/>
      <c r="D41" s="31"/>
      <c r="E41" s="32" t="e">
        <f>E9+E31+E39</f>
        <v>#N/A</v>
      </c>
      <c r="G41" s="62"/>
      <c r="M41" s="10" t="s">
        <v>95</v>
      </c>
      <c r="N41" s="159">
        <v>2063</v>
      </c>
    </row>
    <row r="42" spans="5:14" ht="12.75">
      <c r="E42" s="1"/>
      <c r="G42" s="63"/>
      <c r="M42" s="10" t="s">
        <v>28</v>
      </c>
      <c r="N42" s="159">
        <v>2081</v>
      </c>
    </row>
    <row r="43" spans="2:14" ht="12.75">
      <c r="B43" s="16" t="s">
        <v>110</v>
      </c>
      <c r="C43" s="16"/>
      <c r="D43" s="16"/>
      <c r="E43" s="19" t="e">
        <f>VLOOKUP($B$3,'All Schools'!$A$5:$BW$95,64,0)</f>
        <v>#N/A</v>
      </c>
      <c r="G43" s="62">
        <v>8</v>
      </c>
      <c r="M43" s="10" t="s">
        <v>40</v>
      </c>
      <c r="N43" s="159">
        <v>5204</v>
      </c>
    </row>
    <row r="44" spans="2:14" ht="12.75">
      <c r="B44" s="102" t="s">
        <v>289</v>
      </c>
      <c r="C44" s="20"/>
      <c r="D44" s="20"/>
      <c r="E44" s="23" t="e">
        <f>VLOOKUP($B$3,'All Schools'!$A$5:$BW$95,65,0)</f>
        <v>#N/A</v>
      </c>
      <c r="G44" s="62">
        <v>8</v>
      </c>
      <c r="M44" s="10" t="s">
        <v>41</v>
      </c>
      <c r="N44" s="159">
        <v>5205</v>
      </c>
    </row>
    <row r="45" spans="2:14" ht="12.75">
      <c r="B45" s="102" t="s">
        <v>216</v>
      </c>
      <c r="C45" s="20"/>
      <c r="D45" s="20"/>
      <c r="E45" s="23" t="e">
        <f>VLOOKUP($B$3,'All Schools'!$A$5:$BW$95,66,0)</f>
        <v>#N/A</v>
      </c>
      <c r="G45" s="62">
        <v>8</v>
      </c>
      <c r="M45" s="10" t="s">
        <v>30</v>
      </c>
      <c r="N45" s="159">
        <v>3302</v>
      </c>
    </row>
    <row r="46" spans="2:14" ht="12.75">
      <c r="B46" s="20" t="s">
        <v>111</v>
      </c>
      <c r="C46" s="20"/>
      <c r="D46" s="20"/>
      <c r="E46" s="33" t="e">
        <f>VLOOKUP($B$3,'All Schools'!$A$5:$BW$95,67,0)</f>
        <v>#N/A</v>
      </c>
      <c r="G46" s="62">
        <v>9</v>
      </c>
      <c r="M46" s="10" t="s">
        <v>136</v>
      </c>
      <c r="N46" s="159">
        <v>2027</v>
      </c>
    </row>
    <row r="47" spans="2:14" ht="12.75">
      <c r="B47" s="20" t="s">
        <v>112</v>
      </c>
      <c r="C47" s="23"/>
      <c r="D47" s="20"/>
      <c r="E47" s="33" t="e">
        <f>VLOOKUP($B$3,'All Schools'!$A$5:$BW$95,68,0)</f>
        <v>#N/A</v>
      </c>
      <c r="G47" s="64">
        <v>9</v>
      </c>
      <c r="M47" s="79" t="s">
        <v>15</v>
      </c>
      <c r="N47" s="159">
        <v>2033</v>
      </c>
    </row>
    <row r="48" spans="2:14" ht="12.75">
      <c r="B48" s="20" t="s">
        <v>114</v>
      </c>
      <c r="C48" s="23"/>
      <c r="D48" s="20"/>
      <c r="E48" s="23" t="e">
        <f>VLOOKUP($B$3,'All Schools'!$A$5:$BW$95,69,0)</f>
        <v>#N/A</v>
      </c>
      <c r="G48" s="62">
        <v>9</v>
      </c>
      <c r="I48" s="2"/>
      <c r="M48" s="10" t="s">
        <v>91</v>
      </c>
      <c r="N48" s="159">
        <v>2032</v>
      </c>
    </row>
    <row r="49" spans="2:14" ht="12.75">
      <c r="B49" s="31" t="s">
        <v>71</v>
      </c>
      <c r="C49" s="32"/>
      <c r="D49" s="31"/>
      <c r="E49" s="32" t="e">
        <f>E41+E48</f>
        <v>#N/A</v>
      </c>
      <c r="G49" s="62"/>
      <c r="I49" s="2"/>
      <c r="M49" s="10" t="s">
        <v>137</v>
      </c>
      <c r="N49" s="159">
        <v>2028</v>
      </c>
    </row>
    <row r="50" spans="3:14" ht="12.75">
      <c r="C50" s="1"/>
      <c r="E50" s="1"/>
      <c r="G50" s="63"/>
      <c r="M50" s="10" t="s">
        <v>16</v>
      </c>
      <c r="N50" s="159">
        <v>2017</v>
      </c>
    </row>
    <row r="51" spans="2:14" ht="12.75">
      <c r="B51" s="187" t="s">
        <v>243</v>
      </c>
      <c r="C51" s="188">
        <v>2.19</v>
      </c>
      <c r="D51" s="46" t="e">
        <f>D9</f>
        <v>#N/A</v>
      </c>
      <c r="E51" s="151" t="e">
        <f>VLOOKUP(B3,'All Schools'!A5:BT95,71,0)</f>
        <v>#N/A</v>
      </c>
      <c r="G51" s="62">
        <v>10</v>
      </c>
      <c r="M51" s="72" t="s">
        <v>93</v>
      </c>
      <c r="N51" s="186">
        <v>2037</v>
      </c>
    </row>
    <row r="52" spans="2:14" ht="12.75">
      <c r="B52" s="152" t="s">
        <v>203</v>
      </c>
      <c r="C52" s="153">
        <v>1.22</v>
      </c>
      <c r="D52" s="46" t="e">
        <f>D9</f>
        <v>#N/A</v>
      </c>
      <c r="E52" s="151" t="e">
        <f>VLOOKUP(B3,'All Schools'!A5:BT95,72,0)</f>
        <v>#N/A</v>
      </c>
      <c r="G52" s="62">
        <v>11</v>
      </c>
      <c r="J52" s="2"/>
      <c r="M52" s="10" t="s">
        <v>92</v>
      </c>
      <c r="N52" s="159">
        <v>2036</v>
      </c>
    </row>
    <row r="53" spans="5:14" ht="13.5" thickBot="1">
      <c r="E53" s="1"/>
      <c r="G53" s="63"/>
      <c r="M53" s="79" t="s">
        <v>138</v>
      </c>
      <c r="N53" s="159">
        <v>2022</v>
      </c>
    </row>
    <row r="54" spans="2:14" ht="13.5" thickBot="1">
      <c r="B54" s="42" t="s">
        <v>133</v>
      </c>
      <c r="C54" s="43"/>
      <c r="D54" s="43"/>
      <c r="E54" s="44" t="e">
        <f>E49+E51+E52</f>
        <v>#N/A</v>
      </c>
      <c r="G54" s="62"/>
      <c r="M54" s="79" t="s">
        <v>18</v>
      </c>
      <c r="N54" s="159">
        <v>2039</v>
      </c>
    </row>
    <row r="55" spans="5:14" ht="12.75">
      <c r="E55" s="1"/>
      <c r="G55" s="63"/>
      <c r="M55" s="10" t="s">
        <v>17</v>
      </c>
      <c r="N55" s="159">
        <v>2038</v>
      </c>
    </row>
    <row r="56" spans="2:14" ht="12.75">
      <c r="B56" s="87" t="s">
        <v>158</v>
      </c>
      <c r="E56" s="1"/>
      <c r="G56" s="63"/>
      <c r="M56" s="10" t="s">
        <v>102</v>
      </c>
      <c r="N56" s="159">
        <v>5405</v>
      </c>
    </row>
    <row r="57" spans="5:14" ht="12.75">
      <c r="E57" s="1"/>
      <c r="G57" s="63"/>
      <c r="M57" s="10" t="s">
        <v>37</v>
      </c>
      <c r="N57" s="159">
        <v>5200</v>
      </c>
    </row>
    <row r="58" spans="2:14" ht="12.75">
      <c r="B58" s="148" t="s">
        <v>301</v>
      </c>
      <c r="C58" s="197"/>
      <c r="D58" s="97"/>
      <c r="E58" s="19" t="e">
        <f>VLOOKUP(B3,'All Schools'!$A$5:$CA$95,75,0)</f>
        <v>#N/A</v>
      </c>
      <c r="G58" s="94">
        <v>12</v>
      </c>
      <c r="M58" s="79" t="s">
        <v>38</v>
      </c>
      <c r="N58" s="159">
        <v>5201</v>
      </c>
    </row>
    <row r="59" spans="2:14" ht="12.75">
      <c r="B59" s="102" t="s">
        <v>300</v>
      </c>
      <c r="C59" s="98"/>
      <c r="D59" s="88"/>
      <c r="E59" s="23" t="e">
        <f>VLOOKUP(B3,'All Schools'!$A$5:$CA$95,76,0)</f>
        <v>#N/A</v>
      </c>
      <c r="G59" s="94">
        <v>12</v>
      </c>
      <c r="M59" s="10" t="s">
        <v>219</v>
      </c>
      <c r="N59" s="159">
        <v>5409</v>
      </c>
    </row>
    <row r="60" spans="2:14" ht="12.75">
      <c r="B60" s="198" t="s">
        <v>152</v>
      </c>
      <c r="C60" s="98"/>
      <c r="D60" s="88"/>
      <c r="E60" s="23" t="e">
        <f>VLOOKUP(B3,'All Schools'!$A$5:$CA$95,77,0)</f>
        <v>#N/A</v>
      </c>
      <c r="G60" s="94">
        <v>13</v>
      </c>
      <c r="M60" s="10" t="s">
        <v>208</v>
      </c>
      <c r="N60" s="159">
        <v>4021</v>
      </c>
    </row>
    <row r="61" spans="2:14" ht="12.75">
      <c r="B61" s="198" t="s">
        <v>286</v>
      </c>
      <c r="C61" s="98"/>
      <c r="D61" s="88"/>
      <c r="E61" s="23" t="e">
        <f>VLOOKUP(B3,'All Schools'!$A$5:$CA$95,78,0)</f>
        <v>#N/A</v>
      </c>
      <c r="G61" s="94">
        <v>13</v>
      </c>
      <c r="M61" s="72" t="s">
        <v>238</v>
      </c>
      <c r="N61" s="186">
        <v>2040</v>
      </c>
    </row>
    <row r="62" spans="2:14" ht="12.75">
      <c r="B62" s="199" t="s">
        <v>153</v>
      </c>
      <c r="C62" s="100"/>
      <c r="D62" s="216"/>
      <c r="E62" s="27" t="e">
        <f>VLOOKUP(B3,'All Schools'!$A$5:$CA$95,79,0)</f>
        <v>#N/A</v>
      </c>
      <c r="G62" s="94">
        <v>14</v>
      </c>
      <c r="M62" s="10" t="s">
        <v>48</v>
      </c>
      <c r="N62" s="159">
        <v>5403</v>
      </c>
    </row>
    <row r="63" spans="13:14" ht="12.75">
      <c r="M63" s="10" t="s">
        <v>24</v>
      </c>
      <c r="N63" s="159">
        <v>2064</v>
      </c>
    </row>
    <row r="64" spans="2:14" ht="12.75">
      <c r="B64" s="87" t="s">
        <v>256</v>
      </c>
      <c r="M64" s="10" t="s">
        <v>50</v>
      </c>
      <c r="N64" s="159">
        <v>5406</v>
      </c>
    </row>
    <row r="65" spans="13:14" ht="12.75">
      <c r="M65" s="10" t="s">
        <v>140</v>
      </c>
      <c r="N65" s="159">
        <v>2045</v>
      </c>
    </row>
    <row r="66" spans="2:14" ht="12.75">
      <c r="B66" s="192" t="s">
        <v>257</v>
      </c>
      <c r="C66" s="16"/>
      <c r="D66" s="16"/>
      <c r="E66" s="193" t="e">
        <f>VLOOKUP(B3,'All Schools'!$A$5:$CJ$95,81,0)</f>
        <v>#N/A</v>
      </c>
      <c r="G66" s="94">
        <v>15</v>
      </c>
      <c r="M66" s="10" t="s">
        <v>27</v>
      </c>
      <c r="N66" s="159">
        <v>2080</v>
      </c>
    </row>
    <row r="67" spans="2:14" ht="12.75">
      <c r="B67" s="167" t="s">
        <v>258</v>
      </c>
      <c r="C67" s="20"/>
      <c r="D67" s="20"/>
      <c r="E67" s="194" t="e">
        <f>VLOOKUP(B3,'All Schools'!$A$5:$CJ$95,82,0)</f>
        <v>#N/A</v>
      </c>
      <c r="G67" s="94">
        <v>16</v>
      </c>
      <c r="M67" s="10" t="s">
        <v>45</v>
      </c>
      <c r="N67" s="159">
        <v>4023</v>
      </c>
    </row>
    <row r="68" spans="2:14" ht="12.75">
      <c r="B68" s="167" t="s">
        <v>259</v>
      </c>
      <c r="C68" s="20"/>
      <c r="D68" s="20"/>
      <c r="E68" s="194" t="e">
        <f>VLOOKUP(B3,'All Schools'!$A$5:$CJ$95,83,0)</f>
        <v>#N/A</v>
      </c>
      <c r="G68" s="94">
        <v>17</v>
      </c>
      <c r="M68" s="93" t="s">
        <v>19</v>
      </c>
      <c r="N68" s="159">
        <v>2048</v>
      </c>
    </row>
    <row r="69" spans="2:14" ht="12.75">
      <c r="B69" s="167" t="s">
        <v>260</v>
      </c>
      <c r="C69" s="20"/>
      <c r="D69" s="20"/>
      <c r="E69" s="194" t="e">
        <f>VLOOKUP(B3,'All Schools'!$A$5:$CJ$95,84,0)</f>
        <v>#N/A</v>
      </c>
      <c r="G69" s="94">
        <v>18</v>
      </c>
      <c r="M69" s="10" t="s">
        <v>36</v>
      </c>
      <c r="N69" s="159">
        <v>3405</v>
      </c>
    </row>
    <row r="70" spans="2:14" ht="12.75">
      <c r="B70" s="167" t="s">
        <v>261</v>
      </c>
      <c r="C70" s="20"/>
      <c r="D70" s="20"/>
      <c r="E70" s="194" t="e">
        <f>VLOOKUP(B3,'All Schools'!$A$5:$CJ$95,85,0)</f>
        <v>#N/A</v>
      </c>
      <c r="G70" s="94">
        <v>19</v>
      </c>
      <c r="M70" s="10" t="s">
        <v>99</v>
      </c>
      <c r="N70" s="159">
        <v>5208</v>
      </c>
    </row>
    <row r="71" spans="2:14" ht="12.75">
      <c r="B71" s="167" t="s">
        <v>293</v>
      </c>
      <c r="C71" s="20"/>
      <c r="D71" s="20"/>
      <c r="E71" s="194" t="e">
        <f>VLOOKUP(B3,'All Schools'!$A$5:$CJ$95,87,0)</f>
        <v>#N/A</v>
      </c>
      <c r="G71" s="94">
        <v>20</v>
      </c>
      <c r="M71" s="72" t="s">
        <v>33</v>
      </c>
      <c r="N71" s="159">
        <v>3402</v>
      </c>
    </row>
    <row r="72" spans="2:14" ht="12.75">
      <c r="B72" s="195" t="s">
        <v>294</v>
      </c>
      <c r="C72" s="24"/>
      <c r="D72" s="24"/>
      <c r="E72" s="115" t="e">
        <f>VLOOKUP(B3,'All Schools'!$A$5:$CJ$95,88,0)</f>
        <v>#N/A</v>
      </c>
      <c r="G72" s="94">
        <v>21</v>
      </c>
      <c r="M72" s="79" t="s">
        <v>149</v>
      </c>
      <c r="N72" s="159">
        <v>2035</v>
      </c>
    </row>
    <row r="73" spans="13:14" ht="12.75">
      <c r="M73" s="10" t="s">
        <v>35</v>
      </c>
      <c r="N73" s="159">
        <v>3404</v>
      </c>
    </row>
    <row r="74" spans="2:14" ht="12.75">
      <c r="B74" s="187" t="s">
        <v>262</v>
      </c>
      <c r="C74" s="196"/>
      <c r="D74" s="196"/>
      <c r="E74" s="188" t="e">
        <f>VLOOKUP(B3,'All Schools'!$A$5:$CJ$95,86,0)</f>
        <v>#N/A</v>
      </c>
      <c r="G74" s="94">
        <v>22</v>
      </c>
      <c r="M74" s="79" t="s">
        <v>130</v>
      </c>
      <c r="N74" s="159">
        <v>3306</v>
      </c>
    </row>
    <row r="75" spans="13:14" ht="12.75">
      <c r="M75" s="79" t="s">
        <v>155</v>
      </c>
      <c r="N75" s="159">
        <v>3400</v>
      </c>
    </row>
    <row r="76" spans="13:14" ht="12.75">
      <c r="M76" s="10" t="s">
        <v>34</v>
      </c>
      <c r="N76" s="159">
        <v>3403</v>
      </c>
    </row>
    <row r="77" spans="13:14" ht="12.75">
      <c r="M77" s="10" t="s">
        <v>200</v>
      </c>
      <c r="N77" s="159">
        <v>5410</v>
      </c>
    </row>
    <row r="78" spans="13:14" ht="12.75">
      <c r="M78" s="10" t="s">
        <v>128</v>
      </c>
      <c r="N78" s="159">
        <v>2004</v>
      </c>
    </row>
    <row r="79" spans="13:14" ht="12.75">
      <c r="M79" s="10" t="s">
        <v>52</v>
      </c>
      <c r="N79" s="159">
        <v>5408</v>
      </c>
    </row>
    <row r="80" spans="13:14" ht="12.75">
      <c r="M80" s="79" t="s">
        <v>199</v>
      </c>
      <c r="N80" s="159">
        <v>4014</v>
      </c>
    </row>
    <row r="81" spans="13:14" ht="12.75">
      <c r="M81" s="10" t="s">
        <v>135</v>
      </c>
      <c r="N81" s="159">
        <v>6906</v>
      </c>
    </row>
    <row r="82" spans="13:14" ht="12.75">
      <c r="M82" s="10" t="s">
        <v>49</v>
      </c>
      <c r="N82" s="159">
        <v>5404</v>
      </c>
    </row>
    <row r="83" spans="13:14" ht="12.75">
      <c r="M83" s="10" t="s">
        <v>101</v>
      </c>
      <c r="N83" s="159">
        <v>5402</v>
      </c>
    </row>
    <row r="84" spans="13:14" ht="12.75">
      <c r="M84" s="79" t="s">
        <v>96</v>
      </c>
      <c r="N84" s="159">
        <v>2065</v>
      </c>
    </row>
    <row r="85" spans="13:14" ht="12.75">
      <c r="M85" s="10" t="s">
        <v>207</v>
      </c>
      <c r="N85" s="159">
        <v>2051</v>
      </c>
    </row>
    <row r="86" spans="13:14" ht="12.75">
      <c r="M86" s="79" t="s">
        <v>25</v>
      </c>
      <c r="N86" s="159">
        <v>2069</v>
      </c>
    </row>
    <row r="87" spans="13:14" ht="12.75">
      <c r="M87" s="10" t="s">
        <v>20</v>
      </c>
      <c r="N87" s="159">
        <v>2052</v>
      </c>
    </row>
    <row r="88" spans="13:14" ht="12.75">
      <c r="M88" s="89" t="s">
        <v>205</v>
      </c>
      <c r="N88" s="159">
        <v>2074</v>
      </c>
    </row>
    <row r="89" spans="13:14" ht="12.75">
      <c r="M89" s="10" t="s">
        <v>21</v>
      </c>
      <c r="N89" s="159">
        <v>2054</v>
      </c>
    </row>
    <row r="90" spans="13:14" ht="12.75">
      <c r="M90" s="79" t="s">
        <v>206</v>
      </c>
      <c r="N90" s="159">
        <v>2049</v>
      </c>
    </row>
    <row r="91" spans="13:14" ht="12.75">
      <c r="M91" s="79" t="s">
        <v>44</v>
      </c>
      <c r="N91" s="159">
        <v>2082</v>
      </c>
    </row>
    <row r="92" spans="13:14" ht="12.75">
      <c r="M92" s="10" t="s">
        <v>94</v>
      </c>
      <c r="N92" s="159">
        <v>2060</v>
      </c>
    </row>
    <row r="93" spans="13:14" ht="12.75">
      <c r="M93" s="10" t="s">
        <v>22</v>
      </c>
      <c r="N93" s="159">
        <v>2059</v>
      </c>
    </row>
    <row r="94" spans="13:14" ht="12.75">
      <c r="M94" s="72"/>
      <c r="N94" s="186"/>
    </row>
  </sheetData>
  <sheetProtection/>
  <conditionalFormatting sqref="N51">
    <cfRule type="duplicateValues" priority="1" dxfId="0">
      <formula>AND(COUNTIF($N$51:$N$51,N51)&gt;1,NOT(ISBLANK(N51)))</formula>
    </cfRule>
  </conditionalFormatting>
  <conditionalFormatting sqref="N4:N50 N52:N94">
    <cfRule type="duplicateValues" priority="9" dxfId="0">
      <formula>AND(COUNTIF($N$4:$N$50,N4)+COUNTIF($N$52:$N$94,N4)&gt;1,NOT(ISBLANK(N4)))</formula>
    </cfRule>
  </conditionalFormatting>
  <dataValidations count="1">
    <dataValidation type="list" allowBlank="1" showInputMessage="1" showErrorMessage="1" promptTitle="Please select school" sqref="B2">
      <formula1>$M$3:$M$99</formula1>
    </dataValidation>
  </dataValidations>
  <printOptions/>
  <pageMargins left="0.75" right="0.75" top="1" bottom="1"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CK180"/>
  <sheetViews>
    <sheetView zoomScalePageLayoutView="0" workbookViewId="0" topLeftCell="A1">
      <pane xSplit="2" ySplit="4" topLeftCell="BQ20" activePane="bottomRight" state="frozen"/>
      <selection pane="topLeft" activeCell="A1" sqref="A1"/>
      <selection pane="topRight" activeCell="C1" sqref="C1"/>
      <selection pane="bottomLeft" activeCell="A5" sqref="A5"/>
      <selection pane="bottomRight" activeCell="BJ97" sqref="BJ97:BK97"/>
    </sheetView>
  </sheetViews>
  <sheetFormatPr defaultColWidth="9.140625" defaultRowHeight="12.75"/>
  <cols>
    <col min="1" max="1" width="10.57421875" style="7" customWidth="1"/>
    <col min="2" max="2" width="55.8515625" style="0" customWidth="1"/>
    <col min="3" max="3" width="10.7109375" style="0" customWidth="1"/>
    <col min="4" max="4" width="13.8515625" style="0" customWidth="1"/>
    <col min="5" max="5" width="15.57421875" style="0" customWidth="1"/>
    <col min="6" max="7" width="9.7109375" style="0" customWidth="1"/>
    <col min="8" max="8" width="11.7109375" style="0" customWidth="1"/>
    <col min="9" max="21" width="12.57421875" style="0" customWidth="1"/>
    <col min="22" max="22" width="14.140625" style="0" customWidth="1"/>
    <col min="23" max="23" width="12.140625" style="0" customWidth="1"/>
    <col min="24" max="24" width="16.57421875" style="0" customWidth="1"/>
    <col min="25" max="25" width="14.421875" style="0" customWidth="1"/>
    <col min="26" max="26" width="14.28125" style="0" customWidth="1"/>
    <col min="27" max="27" width="15.140625" style="0" customWidth="1"/>
    <col min="28" max="28" width="16.140625" style="1" customWidth="1"/>
    <col min="29" max="30" width="15.140625" style="1" customWidth="1"/>
    <col min="31" max="31" width="20.00390625" style="1" customWidth="1"/>
    <col min="32" max="44" width="16.140625" style="1" customWidth="1"/>
    <col min="45" max="45" width="14.140625" style="1" customWidth="1"/>
    <col min="46" max="46" width="13.421875" style="1" customWidth="1"/>
    <col min="47" max="48" width="17.140625" style="1" customWidth="1"/>
    <col min="49" max="49" width="14.140625" style="1" customWidth="1"/>
    <col min="50" max="50" width="13.421875" style="1" customWidth="1"/>
    <col min="51" max="51" width="15.140625" style="1" customWidth="1"/>
    <col min="52" max="53" width="14.140625" style="1" customWidth="1"/>
    <col min="54" max="54" width="12.28125" style="1" customWidth="1"/>
    <col min="55" max="56" width="13.421875" style="1" customWidth="1"/>
    <col min="57" max="57" width="16.140625" style="1" customWidth="1"/>
    <col min="58" max="58" width="15.140625" style="1" customWidth="1"/>
    <col min="59" max="59" width="20.00390625" style="1" customWidth="1"/>
    <col min="60" max="60" width="22.421875" style="1" customWidth="1"/>
    <col min="61" max="61" width="16.140625" style="4" customWidth="1"/>
    <col min="62" max="62" width="16.140625" style="0" customWidth="1"/>
    <col min="63" max="63" width="15.140625" style="0" customWidth="1"/>
    <col min="64" max="64" width="17.140625" style="0" customWidth="1"/>
    <col min="65" max="66" width="20.00390625" style="0" customWidth="1"/>
    <col min="67" max="67" width="14.28125" style="3" customWidth="1"/>
    <col min="68" max="68" width="13.57421875" style="0" customWidth="1"/>
    <col min="69" max="69" width="21.421875" style="0" customWidth="1"/>
    <col min="70" max="70" width="16.140625" style="157" customWidth="1"/>
    <col min="71" max="72" width="13.57421875" style="0" customWidth="1"/>
    <col min="73" max="73" width="21.28125" style="5" customWidth="1"/>
    <col min="74" max="74" width="6.140625" style="0" customWidth="1"/>
    <col min="75" max="76" width="16.7109375" style="0" customWidth="1"/>
    <col min="77" max="78" width="14.421875" style="0" customWidth="1"/>
    <col min="79" max="79" width="14.57421875" style="0" customWidth="1"/>
    <col min="80" max="80" width="3.421875" style="0" customWidth="1"/>
    <col min="81" max="81" width="14.57421875" style="0" customWidth="1"/>
    <col min="82" max="84" width="13.140625" style="0" customWidth="1"/>
    <col min="85" max="85" width="14.00390625" style="0" bestFit="1" customWidth="1"/>
    <col min="86" max="86" width="13.140625" style="0" customWidth="1"/>
    <col min="87" max="88" width="14.00390625" style="0" customWidth="1"/>
    <col min="89" max="89" width="11.28125" style="0" bestFit="1" customWidth="1"/>
  </cols>
  <sheetData>
    <row r="1" s="13" customFormat="1" ht="18.75" thickBot="1">
      <c r="A1" s="76" t="s">
        <v>239</v>
      </c>
    </row>
    <row r="2" spans="2:88" ht="13.5" hidden="1" thickBot="1">
      <c r="B2" s="7"/>
      <c r="C2" s="7">
        <v>3</v>
      </c>
      <c r="D2" s="7">
        <v>4</v>
      </c>
      <c r="E2" s="7">
        <v>5</v>
      </c>
      <c r="F2" s="7">
        <v>6</v>
      </c>
      <c r="G2" s="7">
        <v>7</v>
      </c>
      <c r="H2" s="7">
        <v>8</v>
      </c>
      <c r="I2" s="7">
        <v>9</v>
      </c>
      <c r="J2" s="7">
        <v>10</v>
      </c>
      <c r="K2" s="7">
        <v>11</v>
      </c>
      <c r="L2" s="7">
        <v>12</v>
      </c>
      <c r="M2" s="7">
        <v>13</v>
      </c>
      <c r="N2" s="7">
        <v>14</v>
      </c>
      <c r="O2" s="7">
        <v>15</v>
      </c>
      <c r="P2" s="7">
        <v>16</v>
      </c>
      <c r="Q2" s="7">
        <v>17</v>
      </c>
      <c r="R2" s="7">
        <v>18</v>
      </c>
      <c r="S2" s="7">
        <v>19</v>
      </c>
      <c r="T2" s="7">
        <v>20</v>
      </c>
      <c r="U2" s="7">
        <v>21</v>
      </c>
      <c r="V2" s="7">
        <v>22</v>
      </c>
      <c r="W2" s="7">
        <v>23</v>
      </c>
      <c r="X2" s="7">
        <v>24</v>
      </c>
      <c r="Y2" s="7">
        <v>25</v>
      </c>
      <c r="Z2" s="7">
        <v>26</v>
      </c>
      <c r="AA2" s="7">
        <v>27</v>
      </c>
      <c r="AB2" s="7">
        <v>28</v>
      </c>
      <c r="AC2" s="7">
        <v>29</v>
      </c>
      <c r="AD2" s="7">
        <v>30</v>
      </c>
      <c r="AE2" s="7">
        <v>31</v>
      </c>
      <c r="AF2" s="7">
        <v>32</v>
      </c>
      <c r="AG2" s="7">
        <v>33</v>
      </c>
      <c r="AH2" s="7">
        <v>34</v>
      </c>
      <c r="AI2" s="7">
        <v>35</v>
      </c>
      <c r="AJ2" s="7">
        <v>36</v>
      </c>
      <c r="AK2" s="7">
        <v>37</v>
      </c>
      <c r="AL2" s="7">
        <v>38</v>
      </c>
      <c r="AM2" s="7">
        <v>39</v>
      </c>
      <c r="AN2" s="7">
        <v>40</v>
      </c>
      <c r="AO2" s="7">
        <v>41</v>
      </c>
      <c r="AP2" s="7">
        <v>42</v>
      </c>
      <c r="AQ2" s="7">
        <v>43</v>
      </c>
      <c r="AR2" s="7">
        <v>44</v>
      </c>
      <c r="AS2" s="7">
        <v>45</v>
      </c>
      <c r="AT2" s="7">
        <v>46</v>
      </c>
      <c r="AU2" s="7">
        <v>47</v>
      </c>
      <c r="AV2" s="7">
        <v>48</v>
      </c>
      <c r="AW2" s="7">
        <v>49</v>
      </c>
      <c r="AX2" s="7">
        <v>50</v>
      </c>
      <c r="AY2" s="7">
        <v>51</v>
      </c>
      <c r="AZ2" s="7">
        <v>52</v>
      </c>
      <c r="BA2" s="7">
        <v>53</v>
      </c>
      <c r="BB2" s="7">
        <v>54</v>
      </c>
      <c r="BC2" s="7">
        <v>55</v>
      </c>
      <c r="BD2" s="7">
        <v>56</v>
      </c>
      <c r="BE2" s="7">
        <v>57</v>
      </c>
      <c r="BF2" s="7">
        <v>58</v>
      </c>
      <c r="BG2" s="7">
        <v>59</v>
      </c>
      <c r="BH2" s="7">
        <v>60</v>
      </c>
      <c r="BI2" s="7">
        <v>61</v>
      </c>
      <c r="BJ2" s="7">
        <v>62</v>
      </c>
      <c r="BK2" s="7">
        <v>63</v>
      </c>
      <c r="BL2" s="7">
        <v>64</v>
      </c>
      <c r="BM2" s="7">
        <v>65</v>
      </c>
      <c r="BN2" s="7">
        <v>66</v>
      </c>
      <c r="BO2" s="7">
        <v>67</v>
      </c>
      <c r="BP2" s="7">
        <v>68</v>
      </c>
      <c r="BQ2" s="7">
        <v>69</v>
      </c>
      <c r="BR2" s="7">
        <v>70</v>
      </c>
      <c r="BS2" s="7">
        <v>71</v>
      </c>
      <c r="BT2" s="7">
        <v>72</v>
      </c>
      <c r="BU2" s="7">
        <v>73</v>
      </c>
      <c r="BV2" s="7">
        <v>74</v>
      </c>
      <c r="BW2" s="7">
        <v>75</v>
      </c>
      <c r="BX2" s="7">
        <v>76</v>
      </c>
      <c r="BY2" s="7">
        <v>77</v>
      </c>
      <c r="BZ2" s="7">
        <v>78</v>
      </c>
      <c r="CA2" s="7">
        <v>79</v>
      </c>
      <c r="CC2" s="7">
        <v>81</v>
      </c>
      <c r="CD2" s="7">
        <v>82</v>
      </c>
      <c r="CE2" s="7">
        <v>83</v>
      </c>
      <c r="CF2" s="7">
        <v>84</v>
      </c>
      <c r="CG2" s="7">
        <v>85</v>
      </c>
      <c r="CH2" s="7">
        <v>86</v>
      </c>
      <c r="CI2" s="7">
        <v>87</v>
      </c>
      <c r="CJ2" s="7">
        <v>88</v>
      </c>
    </row>
    <row r="3" spans="3:88" ht="13.5" thickBot="1">
      <c r="C3" s="296" t="s">
        <v>73</v>
      </c>
      <c r="D3" s="297"/>
      <c r="E3" s="297"/>
      <c r="F3" s="297"/>
      <c r="G3" s="297"/>
      <c r="H3" s="297"/>
      <c r="I3" s="297"/>
      <c r="J3" s="297"/>
      <c r="K3" s="297"/>
      <c r="L3" s="297"/>
      <c r="M3" s="297"/>
      <c r="N3" s="297"/>
      <c r="O3" s="297"/>
      <c r="P3" s="297"/>
      <c r="Q3" s="297"/>
      <c r="R3" s="297"/>
      <c r="S3" s="297"/>
      <c r="T3" s="297"/>
      <c r="U3" s="297"/>
      <c r="V3" s="297"/>
      <c r="W3" s="297"/>
      <c r="X3" s="297"/>
      <c r="Y3" s="297"/>
      <c r="Z3" s="297"/>
      <c r="AA3" s="297"/>
      <c r="AB3" s="84">
        <v>3186.17</v>
      </c>
      <c r="AC3" s="38">
        <v>4131.37</v>
      </c>
      <c r="AD3" s="38">
        <v>4721.57</v>
      </c>
      <c r="AE3" s="38">
        <v>1012.51</v>
      </c>
      <c r="AF3" s="38">
        <v>1316.263</v>
      </c>
      <c r="AG3" s="38">
        <v>64.81</v>
      </c>
      <c r="AH3" s="38">
        <v>129.62</v>
      </c>
      <c r="AI3" s="38">
        <v>194.43</v>
      </c>
      <c r="AJ3" s="38">
        <v>259.24</v>
      </c>
      <c r="AK3" s="38">
        <v>324.05</v>
      </c>
      <c r="AL3" s="38">
        <v>388.86</v>
      </c>
      <c r="AM3" s="38">
        <v>84.25</v>
      </c>
      <c r="AN3" s="38">
        <v>168.51</v>
      </c>
      <c r="AO3" s="38">
        <v>252.76</v>
      </c>
      <c r="AP3" s="38">
        <v>337.01</v>
      </c>
      <c r="AQ3" s="38">
        <v>421.26</v>
      </c>
      <c r="AR3" s="38">
        <v>505.52</v>
      </c>
      <c r="AS3" s="38">
        <v>739.08</v>
      </c>
      <c r="AT3" s="38">
        <v>1113.64</v>
      </c>
      <c r="AU3" s="38">
        <v>590</v>
      </c>
      <c r="AV3" s="38">
        <v>1650</v>
      </c>
      <c r="AW3" s="38">
        <v>800</v>
      </c>
      <c r="AX3" s="38">
        <v>1200</v>
      </c>
      <c r="AY3" s="38">
        <v>140000</v>
      </c>
      <c r="AZ3" s="39"/>
      <c r="BA3" s="39"/>
      <c r="BB3" s="39"/>
      <c r="BC3" s="39"/>
      <c r="BD3" s="39"/>
      <c r="BE3" s="39"/>
      <c r="BF3" s="39"/>
      <c r="BG3" s="39"/>
      <c r="BH3" s="39"/>
      <c r="BI3" s="288"/>
      <c r="BJ3" s="288"/>
      <c r="BK3" s="288"/>
      <c r="BL3" s="289"/>
      <c r="BM3" s="289"/>
      <c r="BN3" s="288"/>
      <c r="BO3" s="290"/>
      <c r="BP3" s="288"/>
      <c r="BQ3" s="288"/>
      <c r="BR3" s="291"/>
      <c r="BS3" s="38">
        <v>2.19</v>
      </c>
      <c r="BT3" s="38">
        <v>1.22</v>
      </c>
      <c r="BU3" s="292"/>
      <c r="BW3" s="301" t="s">
        <v>159</v>
      </c>
      <c r="BX3" s="302"/>
      <c r="BY3" s="302"/>
      <c r="BZ3" s="302"/>
      <c r="CA3" s="303"/>
      <c r="CC3" s="298" t="s">
        <v>249</v>
      </c>
      <c r="CD3" s="299"/>
      <c r="CE3" s="299"/>
      <c r="CF3" s="299"/>
      <c r="CG3" s="299"/>
      <c r="CH3" s="299"/>
      <c r="CI3" s="299"/>
      <c r="CJ3" s="300"/>
    </row>
    <row r="4" spans="1:88" s="8" customFormat="1" ht="68.25" customHeight="1" thickBot="1">
      <c r="A4" s="83" t="s">
        <v>74</v>
      </c>
      <c r="B4" s="82" t="s">
        <v>1</v>
      </c>
      <c r="C4" s="35" t="s">
        <v>2</v>
      </c>
      <c r="D4" s="36" t="s">
        <v>3</v>
      </c>
      <c r="E4" s="36" t="s">
        <v>4</v>
      </c>
      <c r="F4" s="36" t="s">
        <v>5</v>
      </c>
      <c r="G4" s="36" t="s">
        <v>6</v>
      </c>
      <c r="H4" s="36" t="s">
        <v>197</v>
      </c>
      <c r="I4" s="36" t="s">
        <v>171</v>
      </c>
      <c r="J4" s="36" t="s">
        <v>185</v>
      </c>
      <c r="K4" s="36" t="s">
        <v>186</v>
      </c>
      <c r="L4" s="36" t="s">
        <v>187</v>
      </c>
      <c r="M4" s="36" t="s">
        <v>188</v>
      </c>
      <c r="N4" s="36" t="s">
        <v>189</v>
      </c>
      <c r="O4" s="36" t="s">
        <v>190</v>
      </c>
      <c r="P4" s="36" t="s">
        <v>191</v>
      </c>
      <c r="Q4" s="36" t="s">
        <v>192</v>
      </c>
      <c r="R4" s="36" t="s">
        <v>193</v>
      </c>
      <c r="S4" s="36" t="s">
        <v>194</v>
      </c>
      <c r="T4" s="36" t="s">
        <v>195</v>
      </c>
      <c r="U4" s="36" t="s">
        <v>196</v>
      </c>
      <c r="V4" s="36" t="s">
        <v>244</v>
      </c>
      <c r="W4" s="36" t="s">
        <v>245</v>
      </c>
      <c r="X4" s="36" t="s">
        <v>105</v>
      </c>
      <c r="Y4" s="36" t="s">
        <v>109</v>
      </c>
      <c r="Z4" s="36" t="s">
        <v>106</v>
      </c>
      <c r="AA4" s="37" t="s">
        <v>107</v>
      </c>
      <c r="AB4" s="278" t="s">
        <v>75</v>
      </c>
      <c r="AC4" s="279" t="s">
        <v>76</v>
      </c>
      <c r="AD4" s="279" t="s">
        <v>77</v>
      </c>
      <c r="AE4" s="279" t="s">
        <v>151</v>
      </c>
      <c r="AF4" s="279" t="s">
        <v>184</v>
      </c>
      <c r="AG4" s="279" t="s">
        <v>185</v>
      </c>
      <c r="AH4" s="279" t="s">
        <v>186</v>
      </c>
      <c r="AI4" s="279" t="s">
        <v>187</v>
      </c>
      <c r="AJ4" s="279" t="s">
        <v>188</v>
      </c>
      <c r="AK4" s="279" t="s">
        <v>189</v>
      </c>
      <c r="AL4" s="279" t="s">
        <v>190</v>
      </c>
      <c r="AM4" s="279" t="s">
        <v>191</v>
      </c>
      <c r="AN4" s="279" t="s">
        <v>192</v>
      </c>
      <c r="AO4" s="279" t="s">
        <v>193</v>
      </c>
      <c r="AP4" s="279" t="s">
        <v>194</v>
      </c>
      <c r="AQ4" s="279" t="s">
        <v>195</v>
      </c>
      <c r="AR4" s="279" t="s">
        <v>196</v>
      </c>
      <c r="AS4" s="279" t="s">
        <v>56</v>
      </c>
      <c r="AT4" s="279" t="s">
        <v>57</v>
      </c>
      <c r="AU4" s="279" t="s">
        <v>54</v>
      </c>
      <c r="AV4" s="279" t="s">
        <v>55</v>
      </c>
      <c r="AW4" s="279" t="s">
        <v>58</v>
      </c>
      <c r="AX4" s="279" t="s">
        <v>59</v>
      </c>
      <c r="AY4" s="279" t="s">
        <v>60</v>
      </c>
      <c r="AZ4" s="279" t="s">
        <v>246</v>
      </c>
      <c r="BA4" s="279" t="s">
        <v>248</v>
      </c>
      <c r="BB4" s="279" t="s">
        <v>61</v>
      </c>
      <c r="BC4" s="279" t="s">
        <v>63</v>
      </c>
      <c r="BD4" s="280" t="s">
        <v>247</v>
      </c>
      <c r="BE4" s="278" t="s">
        <v>64</v>
      </c>
      <c r="BF4" s="279" t="s">
        <v>65</v>
      </c>
      <c r="BG4" s="279" t="s">
        <v>113</v>
      </c>
      <c r="BH4" s="279" t="s">
        <v>132</v>
      </c>
      <c r="BI4" s="281" t="s">
        <v>66</v>
      </c>
      <c r="BJ4" s="281" t="s">
        <v>67</v>
      </c>
      <c r="BK4" s="281" t="s">
        <v>68</v>
      </c>
      <c r="BL4" s="281" t="s">
        <v>240</v>
      </c>
      <c r="BM4" s="281" t="s">
        <v>241</v>
      </c>
      <c r="BN4" s="281" t="s">
        <v>209</v>
      </c>
      <c r="BO4" s="282" t="s">
        <v>69</v>
      </c>
      <c r="BP4" s="281" t="s">
        <v>70</v>
      </c>
      <c r="BQ4" s="283" t="s">
        <v>242</v>
      </c>
      <c r="BR4" s="284" t="s">
        <v>71</v>
      </c>
      <c r="BS4" s="285" t="s">
        <v>72</v>
      </c>
      <c r="BT4" s="286" t="s">
        <v>198</v>
      </c>
      <c r="BU4" s="287" t="s">
        <v>0</v>
      </c>
      <c r="BW4" s="90" t="s">
        <v>142</v>
      </c>
      <c r="BX4" s="91" t="s">
        <v>299</v>
      </c>
      <c r="BY4" s="91" t="s">
        <v>152</v>
      </c>
      <c r="BZ4" s="91" t="s">
        <v>276</v>
      </c>
      <c r="CA4" s="92" t="s">
        <v>153</v>
      </c>
      <c r="CC4" s="205" t="s">
        <v>250</v>
      </c>
      <c r="CD4" s="206" t="s">
        <v>251</v>
      </c>
      <c r="CE4" s="206" t="s">
        <v>252</v>
      </c>
      <c r="CF4" s="207" t="s">
        <v>253</v>
      </c>
      <c r="CG4" s="207" t="s">
        <v>254</v>
      </c>
      <c r="CH4" s="206" t="s">
        <v>255</v>
      </c>
      <c r="CI4" s="206" t="s">
        <v>278</v>
      </c>
      <c r="CJ4" s="208" t="s">
        <v>277</v>
      </c>
    </row>
    <row r="5" spans="1:89" ht="15">
      <c r="A5" s="239">
        <v>2003</v>
      </c>
      <c r="B5" s="240" t="s">
        <v>7</v>
      </c>
      <c r="C5" s="241">
        <v>225</v>
      </c>
      <c r="D5" s="241">
        <v>225</v>
      </c>
      <c r="E5" s="241">
        <v>0</v>
      </c>
      <c r="F5" s="241">
        <v>0</v>
      </c>
      <c r="G5" s="241">
        <v>0</v>
      </c>
      <c r="H5" s="241">
        <v>46.792035398230084</v>
      </c>
      <c r="I5" s="241">
        <v>0</v>
      </c>
      <c r="J5" s="241">
        <v>83.00000000000003</v>
      </c>
      <c r="K5" s="241">
        <v>4.000000000000004</v>
      </c>
      <c r="L5" s="241">
        <v>2.0000000000000004</v>
      </c>
      <c r="M5" s="241">
        <v>4.000000000000004</v>
      </c>
      <c r="N5" s="241">
        <v>0.999999999999999</v>
      </c>
      <c r="O5" s="241">
        <v>0</v>
      </c>
      <c r="P5" s="241">
        <v>0</v>
      </c>
      <c r="Q5" s="241">
        <v>0</v>
      </c>
      <c r="R5" s="241">
        <v>0</v>
      </c>
      <c r="S5" s="241">
        <v>0</v>
      </c>
      <c r="T5" s="241">
        <v>0</v>
      </c>
      <c r="U5" s="241">
        <v>0</v>
      </c>
      <c r="V5" s="241">
        <v>53.350515463917596</v>
      </c>
      <c r="W5" s="241">
        <v>0</v>
      </c>
      <c r="X5" s="241">
        <v>81.8181818181819</v>
      </c>
      <c r="Y5" s="241">
        <v>0</v>
      </c>
      <c r="Z5" s="241">
        <v>0</v>
      </c>
      <c r="AA5" s="242">
        <v>0</v>
      </c>
      <c r="AB5" s="249">
        <v>716887.5254249799</v>
      </c>
      <c r="AC5" s="250">
        <v>0</v>
      </c>
      <c r="AD5" s="250">
        <v>0</v>
      </c>
      <c r="AE5" s="250">
        <v>47377.40376106194</v>
      </c>
      <c r="AF5" s="250">
        <v>0</v>
      </c>
      <c r="AG5" s="250">
        <v>5379.230000000002</v>
      </c>
      <c r="AH5" s="250">
        <v>518.4800000000006</v>
      </c>
      <c r="AI5" s="250">
        <v>388.8600000000001</v>
      </c>
      <c r="AJ5" s="250">
        <v>1036.957407600001</v>
      </c>
      <c r="AK5" s="250">
        <v>324.0491898749996</v>
      </c>
      <c r="AL5" s="250">
        <v>0</v>
      </c>
      <c r="AM5" s="250">
        <v>0</v>
      </c>
      <c r="AN5" s="250">
        <v>0</v>
      </c>
      <c r="AO5" s="250">
        <v>0</v>
      </c>
      <c r="AP5" s="250">
        <v>0</v>
      </c>
      <c r="AQ5" s="250">
        <v>0</v>
      </c>
      <c r="AR5" s="250">
        <v>0</v>
      </c>
      <c r="AS5" s="241">
        <v>39430.29896907222</v>
      </c>
      <c r="AT5" s="241">
        <v>0</v>
      </c>
      <c r="AU5" s="250">
        <v>48272.72727272732</v>
      </c>
      <c r="AV5" s="250">
        <v>0</v>
      </c>
      <c r="AW5" s="250">
        <v>0</v>
      </c>
      <c r="AX5" s="250">
        <v>0</v>
      </c>
      <c r="AY5" s="250">
        <v>140000</v>
      </c>
      <c r="AZ5" s="251">
        <v>25200</v>
      </c>
      <c r="BA5" s="251">
        <v>-8385.64</v>
      </c>
      <c r="BB5" s="250">
        <v>0</v>
      </c>
      <c r="BC5" s="250">
        <v>0</v>
      </c>
      <c r="BD5" s="269">
        <v>0</v>
      </c>
      <c r="BE5" s="249">
        <v>716887.5254249799</v>
      </c>
      <c r="BF5" s="250">
        <v>142728.0066003365</v>
      </c>
      <c r="BG5" s="250">
        <v>156814.36</v>
      </c>
      <c r="BH5" s="250">
        <v>48272.72727272732</v>
      </c>
      <c r="BI5" s="259">
        <f>SUM(BE5:BG5)</f>
        <v>1016429.8920253164</v>
      </c>
      <c r="BJ5" s="250">
        <v>1016429.8920253163</v>
      </c>
      <c r="BK5" s="250">
        <v>0</v>
      </c>
      <c r="BL5" s="250">
        <v>859615.5320253164</v>
      </c>
      <c r="BM5" s="250">
        <v>3820.5134756680727</v>
      </c>
      <c r="BN5" s="250">
        <v>3842.7773406926403</v>
      </c>
      <c r="BO5" s="260">
        <v>-0.0057936911381273725</v>
      </c>
      <c r="BP5" s="261">
        <v>0</v>
      </c>
      <c r="BQ5" s="269">
        <v>0</v>
      </c>
      <c r="BR5" s="265">
        <v>1016429.8920253164</v>
      </c>
      <c r="BS5" s="274">
        <v>-492.75</v>
      </c>
      <c r="BT5" s="252">
        <v>-274.5</v>
      </c>
      <c r="BU5" s="271">
        <v>1015662.6420253164</v>
      </c>
      <c r="BV5" s="85"/>
      <c r="BW5" s="276">
        <v>99072.25207891375</v>
      </c>
      <c r="BX5" s="27">
        <v>0</v>
      </c>
      <c r="BY5" s="27"/>
      <c r="BZ5" s="27"/>
      <c r="CA5" s="277">
        <v>7017</v>
      </c>
      <c r="CC5" s="233">
        <v>62040</v>
      </c>
      <c r="CD5" s="234">
        <v>0</v>
      </c>
      <c r="CE5" s="234">
        <v>0</v>
      </c>
      <c r="CF5" s="234">
        <v>18600</v>
      </c>
      <c r="CG5" s="234">
        <v>27530.999999999996</v>
      </c>
      <c r="CH5" s="234">
        <v>6815</v>
      </c>
      <c r="CI5" s="234"/>
      <c r="CJ5" s="227"/>
      <c r="CK5" s="2"/>
    </row>
    <row r="6" spans="1:89" ht="15">
      <c r="A6" s="243">
        <v>2004</v>
      </c>
      <c r="B6" s="187" t="s">
        <v>128</v>
      </c>
      <c r="C6" s="189">
        <v>606</v>
      </c>
      <c r="D6" s="189">
        <v>606</v>
      </c>
      <c r="E6" s="189">
        <v>0</v>
      </c>
      <c r="F6" s="189">
        <v>0</v>
      </c>
      <c r="G6" s="189">
        <v>0</v>
      </c>
      <c r="H6" s="189">
        <v>15.869067103109657</v>
      </c>
      <c r="I6" s="189">
        <v>0</v>
      </c>
      <c r="J6" s="189">
        <v>13.000000000000028</v>
      </c>
      <c r="K6" s="189">
        <v>17.00000000000003</v>
      </c>
      <c r="L6" s="189">
        <v>0.9999999999999999</v>
      </c>
      <c r="M6" s="189">
        <v>0</v>
      </c>
      <c r="N6" s="189">
        <v>0</v>
      </c>
      <c r="O6" s="189">
        <v>0</v>
      </c>
      <c r="P6" s="189">
        <v>0</v>
      </c>
      <c r="Q6" s="189">
        <v>0</v>
      </c>
      <c r="R6" s="189">
        <v>0</v>
      </c>
      <c r="S6" s="189">
        <v>0</v>
      </c>
      <c r="T6" s="189">
        <v>0</v>
      </c>
      <c r="U6" s="189">
        <v>0</v>
      </c>
      <c r="V6" s="189">
        <v>109.75722543352613</v>
      </c>
      <c r="W6" s="189">
        <v>0</v>
      </c>
      <c r="X6" s="189">
        <v>123.37724550898174</v>
      </c>
      <c r="Y6" s="189">
        <v>0</v>
      </c>
      <c r="Z6" s="189">
        <v>0</v>
      </c>
      <c r="AA6" s="244">
        <v>0</v>
      </c>
      <c r="AB6" s="253">
        <v>1930817.0684779456</v>
      </c>
      <c r="AC6" s="190">
        <v>0</v>
      </c>
      <c r="AD6" s="190">
        <v>0</v>
      </c>
      <c r="AE6" s="190">
        <v>16067.58913256956</v>
      </c>
      <c r="AF6" s="190">
        <v>0</v>
      </c>
      <c r="AG6" s="190">
        <v>842.5300000000019</v>
      </c>
      <c r="AH6" s="190">
        <v>2203.5400000000036</v>
      </c>
      <c r="AI6" s="190">
        <v>194.42999999999998</v>
      </c>
      <c r="AJ6" s="190">
        <v>0</v>
      </c>
      <c r="AK6" s="190">
        <v>0</v>
      </c>
      <c r="AL6" s="190">
        <v>0</v>
      </c>
      <c r="AM6" s="190">
        <v>0</v>
      </c>
      <c r="AN6" s="190">
        <v>0</v>
      </c>
      <c r="AO6" s="190">
        <v>0</v>
      </c>
      <c r="AP6" s="190">
        <v>0</v>
      </c>
      <c r="AQ6" s="190">
        <v>0</v>
      </c>
      <c r="AR6" s="190">
        <v>0</v>
      </c>
      <c r="AS6" s="189">
        <v>81119.3701734105</v>
      </c>
      <c r="AT6" s="189">
        <v>0</v>
      </c>
      <c r="AU6" s="190">
        <v>72792.57485029924</v>
      </c>
      <c r="AV6" s="190">
        <v>0</v>
      </c>
      <c r="AW6" s="190">
        <v>0</v>
      </c>
      <c r="AX6" s="190">
        <v>0</v>
      </c>
      <c r="AY6" s="190">
        <v>140000</v>
      </c>
      <c r="AZ6" s="191">
        <v>40250</v>
      </c>
      <c r="BA6" s="191">
        <v>1046.5</v>
      </c>
      <c r="BB6" s="190">
        <v>0</v>
      </c>
      <c r="BC6" s="190">
        <v>0</v>
      </c>
      <c r="BD6" s="268">
        <v>0</v>
      </c>
      <c r="BE6" s="253">
        <v>1930817.0684779456</v>
      </c>
      <c r="BF6" s="190">
        <v>173220.0341562793</v>
      </c>
      <c r="BG6" s="190">
        <v>181296.5</v>
      </c>
      <c r="BH6" s="190">
        <v>72792.57485029924</v>
      </c>
      <c r="BI6" s="218">
        <f aca="true" t="shared" si="0" ref="BI6:BI69">SUM(BE6:BG6)</f>
        <v>2285333.602634225</v>
      </c>
      <c r="BJ6" s="190">
        <v>2285333.602634225</v>
      </c>
      <c r="BK6" s="190">
        <v>0</v>
      </c>
      <c r="BL6" s="190">
        <v>2104037.102634225</v>
      </c>
      <c r="BM6" s="190">
        <v>3472.00842018849</v>
      </c>
      <c r="BN6" s="190">
        <v>3458.7635528641567</v>
      </c>
      <c r="BO6" s="219">
        <v>0.0038293647778743145</v>
      </c>
      <c r="BP6" s="220">
        <v>0</v>
      </c>
      <c r="BQ6" s="268">
        <v>0</v>
      </c>
      <c r="BR6" s="266">
        <v>2285333.602634225</v>
      </c>
      <c r="BS6" s="238">
        <v>-1327.1399999999999</v>
      </c>
      <c r="BT6" s="254">
        <v>-739.3199999999999</v>
      </c>
      <c r="BU6" s="272">
        <v>2283267.142634225</v>
      </c>
      <c r="BV6" s="10"/>
      <c r="BW6" s="228">
        <v>157509.7575529535</v>
      </c>
      <c r="BX6" s="188">
        <v>60371.17508513779</v>
      </c>
      <c r="BY6" s="188"/>
      <c r="BZ6" s="188"/>
      <c r="CA6" s="229">
        <v>23300</v>
      </c>
      <c r="CC6" s="235">
        <v>21120</v>
      </c>
      <c r="CD6" s="224">
        <v>4500</v>
      </c>
      <c r="CE6" s="224">
        <v>6900</v>
      </c>
      <c r="CF6" s="224">
        <v>22760</v>
      </c>
      <c r="CG6" s="224">
        <v>95921.5</v>
      </c>
      <c r="CH6" s="224">
        <v>11328</v>
      </c>
      <c r="CI6" s="224"/>
      <c r="CJ6" s="229"/>
      <c r="CK6" s="2"/>
    </row>
    <row r="7" spans="1:89" ht="15">
      <c r="A7" s="243">
        <v>2010</v>
      </c>
      <c r="B7" s="196" t="s">
        <v>8</v>
      </c>
      <c r="C7" s="189">
        <v>595</v>
      </c>
      <c r="D7" s="189">
        <v>595</v>
      </c>
      <c r="E7" s="189">
        <v>0</v>
      </c>
      <c r="F7" s="189">
        <v>0</v>
      </c>
      <c r="G7" s="189">
        <v>0</v>
      </c>
      <c r="H7" s="189">
        <v>247.4158249158249</v>
      </c>
      <c r="I7" s="189">
        <v>0</v>
      </c>
      <c r="J7" s="189">
        <v>34.99999999999999</v>
      </c>
      <c r="K7" s="189">
        <v>197.00000000000006</v>
      </c>
      <c r="L7" s="189">
        <v>257.00000000000017</v>
      </c>
      <c r="M7" s="189">
        <v>22.000000000000007</v>
      </c>
      <c r="N7" s="189">
        <v>0.9999999999999982</v>
      </c>
      <c r="O7" s="189">
        <v>0</v>
      </c>
      <c r="P7" s="189">
        <v>0</v>
      </c>
      <c r="Q7" s="189">
        <v>0</v>
      </c>
      <c r="R7" s="189">
        <v>0</v>
      </c>
      <c r="S7" s="189">
        <v>0</v>
      </c>
      <c r="T7" s="189">
        <v>0</v>
      </c>
      <c r="U7" s="189">
        <v>0</v>
      </c>
      <c r="V7" s="189">
        <v>122.021484375</v>
      </c>
      <c r="W7" s="189">
        <v>0</v>
      </c>
      <c r="X7" s="189">
        <v>215.45263157894752</v>
      </c>
      <c r="Y7" s="189">
        <v>0</v>
      </c>
      <c r="Z7" s="189">
        <v>27.5</v>
      </c>
      <c r="AA7" s="244">
        <v>0</v>
      </c>
      <c r="AB7" s="253">
        <v>1895769.2339016134</v>
      </c>
      <c r="AC7" s="190">
        <v>0</v>
      </c>
      <c r="AD7" s="190">
        <v>0</v>
      </c>
      <c r="AE7" s="190">
        <v>250510.9968855219</v>
      </c>
      <c r="AF7" s="190">
        <v>0</v>
      </c>
      <c r="AG7" s="190">
        <v>2268.3499999999995</v>
      </c>
      <c r="AH7" s="190">
        <v>25535.140000000007</v>
      </c>
      <c r="AI7" s="190">
        <v>49968.51000000004</v>
      </c>
      <c r="AJ7" s="190">
        <v>5703.265741800002</v>
      </c>
      <c r="AK7" s="190">
        <v>324.0491898749994</v>
      </c>
      <c r="AL7" s="190">
        <v>0</v>
      </c>
      <c r="AM7" s="190">
        <v>0</v>
      </c>
      <c r="AN7" s="190">
        <v>0</v>
      </c>
      <c r="AO7" s="190">
        <v>0</v>
      </c>
      <c r="AP7" s="190">
        <v>0</v>
      </c>
      <c r="AQ7" s="190">
        <v>0</v>
      </c>
      <c r="AR7" s="190">
        <v>0</v>
      </c>
      <c r="AS7" s="189">
        <v>90183.638671875</v>
      </c>
      <c r="AT7" s="189">
        <v>0</v>
      </c>
      <c r="AU7" s="190">
        <v>127117.05263157903</v>
      </c>
      <c r="AV7" s="190">
        <v>0</v>
      </c>
      <c r="AW7" s="190">
        <v>22000</v>
      </c>
      <c r="AX7" s="190">
        <v>0</v>
      </c>
      <c r="AY7" s="190">
        <v>140000</v>
      </c>
      <c r="AZ7" s="191">
        <v>49500</v>
      </c>
      <c r="BA7" s="191">
        <v>146.09</v>
      </c>
      <c r="BB7" s="190">
        <v>0</v>
      </c>
      <c r="BC7" s="190">
        <v>0</v>
      </c>
      <c r="BD7" s="268">
        <v>0</v>
      </c>
      <c r="BE7" s="253">
        <v>1895769.2339016134</v>
      </c>
      <c r="BF7" s="190">
        <v>573611.003120651</v>
      </c>
      <c r="BG7" s="190">
        <v>189646.09</v>
      </c>
      <c r="BH7" s="190">
        <v>127117.05263157903</v>
      </c>
      <c r="BI7" s="218">
        <f t="shared" si="0"/>
        <v>2659026.3270222642</v>
      </c>
      <c r="BJ7" s="190">
        <v>2659026.3270222642</v>
      </c>
      <c r="BK7" s="190">
        <v>0</v>
      </c>
      <c r="BL7" s="190">
        <v>2469380.2370222644</v>
      </c>
      <c r="BM7" s="190">
        <v>4150.218885751705</v>
      </c>
      <c r="BN7" s="190">
        <v>4199.31926</v>
      </c>
      <c r="BO7" s="219">
        <v>-0.011692460422334103</v>
      </c>
      <c r="BP7" s="220">
        <v>0</v>
      </c>
      <c r="BQ7" s="268">
        <v>0</v>
      </c>
      <c r="BR7" s="266">
        <v>2659026.3270222642</v>
      </c>
      <c r="BS7" s="238">
        <v>-1303.05</v>
      </c>
      <c r="BT7" s="254">
        <v>-725.9</v>
      </c>
      <c r="BU7" s="272">
        <v>2656997.3770222645</v>
      </c>
      <c r="BV7" s="10"/>
      <c r="BW7" s="228">
        <v>207490.38027937117</v>
      </c>
      <c r="BX7" s="188">
        <v>128423.97021836835</v>
      </c>
      <c r="BY7" s="188"/>
      <c r="BZ7" s="188"/>
      <c r="CA7" s="229">
        <v>136059</v>
      </c>
      <c r="CC7" s="235">
        <v>323400</v>
      </c>
      <c r="CD7" s="224">
        <v>900</v>
      </c>
      <c r="CE7" s="224">
        <v>2300</v>
      </c>
      <c r="CF7" s="224">
        <v>22620</v>
      </c>
      <c r="CG7" s="224">
        <v>66424</v>
      </c>
      <c r="CH7" s="224">
        <v>11013</v>
      </c>
      <c r="CI7" s="224"/>
      <c r="CJ7" s="229"/>
      <c r="CK7" s="2"/>
    </row>
    <row r="8" spans="1:89" ht="15">
      <c r="A8" s="243">
        <v>2012</v>
      </c>
      <c r="B8" s="196" t="s">
        <v>10</v>
      </c>
      <c r="C8" s="189">
        <v>225</v>
      </c>
      <c r="D8" s="189">
        <v>225</v>
      </c>
      <c r="E8" s="189">
        <v>0</v>
      </c>
      <c r="F8" s="189">
        <v>0</v>
      </c>
      <c r="G8" s="189">
        <v>0</v>
      </c>
      <c r="H8" s="189">
        <v>45</v>
      </c>
      <c r="I8" s="189">
        <v>0</v>
      </c>
      <c r="J8" s="189">
        <v>6.999999999999997</v>
      </c>
      <c r="K8" s="189">
        <v>69.00000000000007</v>
      </c>
      <c r="L8" s="189">
        <v>0.999999999999999</v>
      </c>
      <c r="M8" s="189">
        <v>0</v>
      </c>
      <c r="N8" s="189">
        <v>0</v>
      </c>
      <c r="O8" s="189">
        <v>0</v>
      </c>
      <c r="P8" s="189">
        <v>0</v>
      </c>
      <c r="Q8" s="189">
        <v>0</v>
      </c>
      <c r="R8" s="189">
        <v>0</v>
      </c>
      <c r="S8" s="189">
        <v>0</v>
      </c>
      <c r="T8" s="189">
        <v>0</v>
      </c>
      <c r="U8" s="189">
        <v>0</v>
      </c>
      <c r="V8" s="189">
        <v>51.34228187919457</v>
      </c>
      <c r="W8" s="189">
        <v>0</v>
      </c>
      <c r="X8" s="189">
        <v>57.41379310344818</v>
      </c>
      <c r="Y8" s="189">
        <v>0</v>
      </c>
      <c r="Z8" s="189">
        <v>0</v>
      </c>
      <c r="AA8" s="244">
        <v>0</v>
      </c>
      <c r="AB8" s="253">
        <v>716887.5254249799</v>
      </c>
      <c r="AC8" s="190">
        <v>0</v>
      </c>
      <c r="AD8" s="190">
        <v>0</v>
      </c>
      <c r="AE8" s="190">
        <v>45562.95</v>
      </c>
      <c r="AF8" s="190">
        <v>0</v>
      </c>
      <c r="AG8" s="190">
        <v>453.66999999999985</v>
      </c>
      <c r="AH8" s="190">
        <v>8943.78000000001</v>
      </c>
      <c r="AI8" s="190">
        <v>194.4299999999998</v>
      </c>
      <c r="AJ8" s="190">
        <v>0</v>
      </c>
      <c r="AK8" s="190">
        <v>0</v>
      </c>
      <c r="AL8" s="190">
        <v>0</v>
      </c>
      <c r="AM8" s="190">
        <v>0</v>
      </c>
      <c r="AN8" s="190">
        <v>0</v>
      </c>
      <c r="AO8" s="190">
        <v>0</v>
      </c>
      <c r="AP8" s="190">
        <v>0</v>
      </c>
      <c r="AQ8" s="190">
        <v>0</v>
      </c>
      <c r="AR8" s="190">
        <v>0</v>
      </c>
      <c r="AS8" s="189">
        <v>37946.05369127513</v>
      </c>
      <c r="AT8" s="189">
        <v>0</v>
      </c>
      <c r="AU8" s="190">
        <v>33874.13793103443</v>
      </c>
      <c r="AV8" s="190">
        <v>0</v>
      </c>
      <c r="AW8" s="190">
        <v>0</v>
      </c>
      <c r="AX8" s="190">
        <v>0</v>
      </c>
      <c r="AY8" s="190">
        <v>140000</v>
      </c>
      <c r="AZ8" s="191">
        <v>26160</v>
      </c>
      <c r="BA8" s="191">
        <v>-7807.28</v>
      </c>
      <c r="BB8" s="190">
        <v>0</v>
      </c>
      <c r="BC8" s="190">
        <v>0</v>
      </c>
      <c r="BD8" s="268">
        <v>0</v>
      </c>
      <c r="BE8" s="253">
        <v>716887.5254249799</v>
      </c>
      <c r="BF8" s="190">
        <v>126975.02162230958</v>
      </c>
      <c r="BG8" s="190">
        <v>158352.72</v>
      </c>
      <c r="BH8" s="190">
        <v>33874.13793103443</v>
      </c>
      <c r="BI8" s="218">
        <f t="shared" si="0"/>
        <v>1002215.2670472894</v>
      </c>
      <c r="BJ8" s="190">
        <v>1002215.2670472895</v>
      </c>
      <c r="BK8" s="190">
        <v>0</v>
      </c>
      <c r="BL8" s="190">
        <v>843862.5470472894</v>
      </c>
      <c r="BM8" s="190">
        <v>3750.5002090990643</v>
      </c>
      <c r="BN8" s="190">
        <v>3772.3551991631793</v>
      </c>
      <c r="BO8" s="219">
        <v>-0.005793460294768422</v>
      </c>
      <c r="BP8" s="220">
        <v>0</v>
      </c>
      <c r="BQ8" s="268">
        <v>0</v>
      </c>
      <c r="BR8" s="266">
        <v>1002215.2670472894</v>
      </c>
      <c r="BS8" s="238">
        <v>-492.75</v>
      </c>
      <c r="BT8" s="254">
        <v>-274.5</v>
      </c>
      <c r="BU8" s="272">
        <v>1001448.0170472894</v>
      </c>
      <c r="BV8" s="10"/>
      <c r="BW8" s="228">
        <v>164930.70222204752</v>
      </c>
      <c r="BX8" s="188">
        <v>80008.93639707837</v>
      </c>
      <c r="BY8" s="188"/>
      <c r="BZ8" s="188"/>
      <c r="CA8" s="229">
        <v>64542</v>
      </c>
      <c r="CC8" s="235">
        <v>58080</v>
      </c>
      <c r="CD8" s="224">
        <v>1500</v>
      </c>
      <c r="CE8" s="224">
        <v>4600</v>
      </c>
      <c r="CF8" s="224">
        <v>18900</v>
      </c>
      <c r="CG8" s="224">
        <v>75382.49999999999</v>
      </c>
      <c r="CH8" s="224">
        <v>7267</v>
      </c>
      <c r="CI8" s="224"/>
      <c r="CJ8" s="229"/>
      <c r="CK8" s="2"/>
    </row>
    <row r="9" spans="1:89" ht="15">
      <c r="A9" s="243">
        <v>2016</v>
      </c>
      <c r="B9" s="196" t="s">
        <v>11</v>
      </c>
      <c r="C9" s="189">
        <v>619</v>
      </c>
      <c r="D9" s="189">
        <v>619</v>
      </c>
      <c r="E9" s="189">
        <v>0</v>
      </c>
      <c r="F9" s="189">
        <v>0</v>
      </c>
      <c r="G9" s="189">
        <v>0</v>
      </c>
      <c r="H9" s="189">
        <v>150.21335504885994</v>
      </c>
      <c r="I9" s="189">
        <v>0</v>
      </c>
      <c r="J9" s="189">
        <v>117.00000000000018</v>
      </c>
      <c r="K9" s="189">
        <v>67.99999999999994</v>
      </c>
      <c r="L9" s="189">
        <v>24.000000000000025</v>
      </c>
      <c r="M9" s="189">
        <v>2.000000000000001</v>
      </c>
      <c r="N9" s="189">
        <v>8.999999999999986</v>
      </c>
      <c r="O9" s="189">
        <v>0</v>
      </c>
      <c r="P9" s="189">
        <v>0</v>
      </c>
      <c r="Q9" s="189">
        <v>0</v>
      </c>
      <c r="R9" s="189">
        <v>0</v>
      </c>
      <c r="S9" s="189">
        <v>0</v>
      </c>
      <c r="T9" s="189">
        <v>0</v>
      </c>
      <c r="U9" s="189">
        <v>0</v>
      </c>
      <c r="V9" s="189">
        <v>134.82007575757558</v>
      </c>
      <c r="W9" s="189">
        <v>0</v>
      </c>
      <c r="X9" s="189">
        <v>227.86023622047216</v>
      </c>
      <c r="Y9" s="189">
        <v>0</v>
      </c>
      <c r="Z9" s="189">
        <v>0</v>
      </c>
      <c r="AA9" s="244">
        <v>0</v>
      </c>
      <c r="AB9" s="253">
        <v>1972237.2366136112</v>
      </c>
      <c r="AC9" s="190">
        <v>0</v>
      </c>
      <c r="AD9" s="190">
        <v>0</v>
      </c>
      <c r="AE9" s="190">
        <v>152092.52412052118</v>
      </c>
      <c r="AF9" s="190">
        <v>0</v>
      </c>
      <c r="AG9" s="190">
        <v>7582.770000000012</v>
      </c>
      <c r="AH9" s="190">
        <v>8814.159999999993</v>
      </c>
      <c r="AI9" s="190">
        <v>4666.320000000005</v>
      </c>
      <c r="AJ9" s="190">
        <v>518.4787038000002</v>
      </c>
      <c r="AK9" s="190">
        <v>2916.442708874995</v>
      </c>
      <c r="AL9" s="190">
        <v>0</v>
      </c>
      <c r="AM9" s="190">
        <v>0</v>
      </c>
      <c r="AN9" s="190">
        <v>0</v>
      </c>
      <c r="AO9" s="190">
        <v>0</v>
      </c>
      <c r="AP9" s="190">
        <v>0</v>
      </c>
      <c r="AQ9" s="190">
        <v>0</v>
      </c>
      <c r="AR9" s="190">
        <v>0</v>
      </c>
      <c r="AS9" s="189">
        <v>99642.82159090896</v>
      </c>
      <c r="AT9" s="189">
        <v>0</v>
      </c>
      <c r="AU9" s="190">
        <v>134437.53937007856</v>
      </c>
      <c r="AV9" s="190">
        <v>0</v>
      </c>
      <c r="AW9" s="190">
        <v>0</v>
      </c>
      <c r="AX9" s="190">
        <v>0</v>
      </c>
      <c r="AY9" s="190">
        <v>140000</v>
      </c>
      <c r="AZ9" s="191">
        <v>59000</v>
      </c>
      <c r="BA9" s="191">
        <v>1534</v>
      </c>
      <c r="BB9" s="190">
        <v>0</v>
      </c>
      <c r="BC9" s="190">
        <v>0</v>
      </c>
      <c r="BD9" s="268">
        <v>0</v>
      </c>
      <c r="BE9" s="253">
        <v>1972237.2366136112</v>
      </c>
      <c r="BF9" s="190">
        <v>410671.0564941837</v>
      </c>
      <c r="BG9" s="190">
        <v>200534</v>
      </c>
      <c r="BH9" s="190">
        <v>134437.53937007856</v>
      </c>
      <c r="BI9" s="218">
        <f t="shared" si="0"/>
        <v>2583442.293107795</v>
      </c>
      <c r="BJ9" s="190">
        <v>2583442.293107795</v>
      </c>
      <c r="BK9" s="190">
        <v>0</v>
      </c>
      <c r="BL9" s="190">
        <v>2382908.293107795</v>
      </c>
      <c r="BM9" s="190">
        <v>3849.6095203680047</v>
      </c>
      <c r="BN9" s="190">
        <v>3829.169406493507</v>
      </c>
      <c r="BO9" s="219">
        <v>0.005338001980229853</v>
      </c>
      <c r="BP9" s="220">
        <v>0</v>
      </c>
      <c r="BQ9" s="268">
        <v>0</v>
      </c>
      <c r="BR9" s="266">
        <v>2583442.293107795</v>
      </c>
      <c r="BS9" s="238">
        <v>-1355.61</v>
      </c>
      <c r="BT9" s="254">
        <v>-755.18</v>
      </c>
      <c r="BU9" s="272">
        <v>2581331.503107795</v>
      </c>
      <c r="BV9" s="10"/>
      <c r="BW9" s="228">
        <v>225002.93795602804</v>
      </c>
      <c r="BX9" s="188">
        <v>98345.65500064801</v>
      </c>
      <c r="BY9" s="188"/>
      <c r="BZ9" s="188"/>
      <c r="CA9" s="229">
        <v>37200</v>
      </c>
      <c r="CC9" s="235">
        <v>191400</v>
      </c>
      <c r="CD9" s="224">
        <v>900</v>
      </c>
      <c r="CE9" s="224">
        <v>0</v>
      </c>
      <c r="CF9" s="224">
        <v>22860</v>
      </c>
      <c r="CG9" s="224">
        <v>91333</v>
      </c>
      <c r="CH9" s="224">
        <v>11232</v>
      </c>
      <c r="CI9" s="224"/>
      <c r="CJ9" s="229"/>
      <c r="CK9" s="2"/>
    </row>
    <row r="10" spans="1:89" ht="15">
      <c r="A10" s="243">
        <v>2018</v>
      </c>
      <c r="B10" s="196" t="s">
        <v>12</v>
      </c>
      <c r="C10" s="189">
        <v>414</v>
      </c>
      <c r="D10" s="189">
        <v>414</v>
      </c>
      <c r="E10" s="189">
        <v>0</v>
      </c>
      <c r="F10" s="189">
        <v>0</v>
      </c>
      <c r="G10" s="189">
        <v>0</v>
      </c>
      <c r="H10" s="189">
        <v>83.82222222222222</v>
      </c>
      <c r="I10" s="189">
        <v>0</v>
      </c>
      <c r="J10" s="189">
        <v>32.077481840193705</v>
      </c>
      <c r="K10" s="189">
        <v>56.13559322033896</v>
      </c>
      <c r="L10" s="189">
        <v>14.03389830508476</v>
      </c>
      <c r="M10" s="189">
        <v>3.0072639225181614</v>
      </c>
      <c r="N10" s="189">
        <v>5.012106537530248</v>
      </c>
      <c r="O10" s="189">
        <v>0</v>
      </c>
      <c r="P10" s="189">
        <v>0</v>
      </c>
      <c r="Q10" s="189">
        <v>0</v>
      </c>
      <c r="R10" s="189">
        <v>0</v>
      </c>
      <c r="S10" s="189">
        <v>0</v>
      </c>
      <c r="T10" s="189">
        <v>0</v>
      </c>
      <c r="U10" s="189">
        <v>0</v>
      </c>
      <c r="V10" s="189">
        <v>49.999999999999844</v>
      </c>
      <c r="W10" s="189">
        <v>0</v>
      </c>
      <c r="X10" s="189">
        <v>191.39698492462324</v>
      </c>
      <c r="Y10" s="189">
        <v>0</v>
      </c>
      <c r="Z10" s="189">
        <v>0</v>
      </c>
      <c r="AA10" s="244">
        <v>0</v>
      </c>
      <c r="AB10" s="253">
        <v>1319073.046781963</v>
      </c>
      <c r="AC10" s="190">
        <v>0</v>
      </c>
      <c r="AD10" s="190">
        <v>0</v>
      </c>
      <c r="AE10" s="190">
        <v>84870.83822222223</v>
      </c>
      <c r="AF10" s="190">
        <v>0</v>
      </c>
      <c r="AG10" s="190">
        <v>2078.941598062954</v>
      </c>
      <c r="AH10" s="190">
        <v>7276.295593220337</v>
      </c>
      <c r="AI10" s="190">
        <v>2728.61084745763</v>
      </c>
      <c r="AJ10" s="190">
        <v>779.6011502658599</v>
      </c>
      <c r="AK10" s="190">
        <v>1624.169063053868</v>
      </c>
      <c r="AL10" s="190">
        <v>0</v>
      </c>
      <c r="AM10" s="190">
        <v>0</v>
      </c>
      <c r="AN10" s="190">
        <v>0</v>
      </c>
      <c r="AO10" s="190">
        <v>0</v>
      </c>
      <c r="AP10" s="190">
        <v>0</v>
      </c>
      <c r="AQ10" s="190">
        <v>0</v>
      </c>
      <c r="AR10" s="190">
        <v>0</v>
      </c>
      <c r="AS10" s="189">
        <v>36953.99999999988</v>
      </c>
      <c r="AT10" s="189">
        <v>0</v>
      </c>
      <c r="AU10" s="190">
        <v>112924.22110552771</v>
      </c>
      <c r="AV10" s="190">
        <v>0</v>
      </c>
      <c r="AW10" s="190">
        <v>0</v>
      </c>
      <c r="AX10" s="190">
        <v>0</v>
      </c>
      <c r="AY10" s="190">
        <v>140000</v>
      </c>
      <c r="AZ10" s="191">
        <v>38750</v>
      </c>
      <c r="BA10" s="191">
        <v>1007.5</v>
      </c>
      <c r="BB10" s="190">
        <v>0</v>
      </c>
      <c r="BC10" s="190">
        <v>0</v>
      </c>
      <c r="BD10" s="268">
        <v>0</v>
      </c>
      <c r="BE10" s="253">
        <v>1319073.046781963</v>
      </c>
      <c r="BF10" s="190">
        <v>249236.6775798105</v>
      </c>
      <c r="BG10" s="190">
        <v>179757.5</v>
      </c>
      <c r="BH10" s="190">
        <v>112924.22110552771</v>
      </c>
      <c r="BI10" s="218">
        <f t="shared" si="0"/>
        <v>1748067.2243617736</v>
      </c>
      <c r="BJ10" s="190">
        <v>1748067.224361773</v>
      </c>
      <c r="BK10" s="190">
        <v>0</v>
      </c>
      <c r="BL10" s="190">
        <v>1568309.7243617736</v>
      </c>
      <c r="BM10" s="190">
        <v>3788.187740004284</v>
      </c>
      <c r="BN10" s="190">
        <v>3733.811620792079</v>
      </c>
      <c r="BO10" s="219">
        <v>0.01456316620512043</v>
      </c>
      <c r="BP10" s="220">
        <v>0</v>
      </c>
      <c r="BQ10" s="268">
        <v>0</v>
      </c>
      <c r="BR10" s="266">
        <v>1748067.2243617736</v>
      </c>
      <c r="BS10" s="238">
        <v>-906.66</v>
      </c>
      <c r="BT10" s="254">
        <v>-505.08</v>
      </c>
      <c r="BU10" s="272">
        <v>1746655.4843617736</v>
      </c>
      <c r="BV10" s="10"/>
      <c r="BW10" s="228"/>
      <c r="BX10" s="188"/>
      <c r="BY10" s="188">
        <v>63349</v>
      </c>
      <c r="BZ10" s="188"/>
      <c r="CA10" s="229">
        <v>62233</v>
      </c>
      <c r="CC10" s="235">
        <v>108240</v>
      </c>
      <c r="CD10" s="224">
        <v>0</v>
      </c>
      <c r="CE10" s="224">
        <v>0</v>
      </c>
      <c r="CF10" s="224">
        <v>20040</v>
      </c>
      <c r="CG10" s="224"/>
      <c r="CH10" s="224">
        <v>8399</v>
      </c>
      <c r="CI10" s="224"/>
      <c r="CJ10" s="229"/>
      <c r="CK10" s="2"/>
    </row>
    <row r="11" spans="1:89" ht="15">
      <c r="A11" s="243">
        <v>2019</v>
      </c>
      <c r="B11" s="187" t="s">
        <v>156</v>
      </c>
      <c r="C11" s="189">
        <v>348</v>
      </c>
      <c r="D11" s="189">
        <v>348</v>
      </c>
      <c r="E11" s="189">
        <v>0</v>
      </c>
      <c r="F11" s="189">
        <v>0</v>
      </c>
      <c r="G11" s="189">
        <v>0</v>
      </c>
      <c r="H11" s="189">
        <v>32.625</v>
      </c>
      <c r="I11" s="189">
        <v>0</v>
      </c>
      <c r="J11" s="189">
        <v>45.99999999999999</v>
      </c>
      <c r="K11" s="189">
        <v>45.99999999999999</v>
      </c>
      <c r="L11" s="189">
        <v>14.000000000000012</v>
      </c>
      <c r="M11" s="189">
        <v>0</v>
      </c>
      <c r="N11" s="189">
        <v>0.9999999999999983</v>
      </c>
      <c r="O11" s="189">
        <v>0</v>
      </c>
      <c r="P11" s="189">
        <v>0</v>
      </c>
      <c r="Q11" s="189">
        <v>0</v>
      </c>
      <c r="R11" s="189">
        <v>0</v>
      </c>
      <c r="S11" s="189">
        <v>0</v>
      </c>
      <c r="T11" s="189">
        <v>0</v>
      </c>
      <c r="U11" s="189">
        <v>0</v>
      </c>
      <c r="V11" s="189">
        <v>172.4869565217393</v>
      </c>
      <c r="W11" s="189">
        <v>0</v>
      </c>
      <c r="X11" s="189">
        <v>102.99551569506724</v>
      </c>
      <c r="Y11" s="189">
        <v>0</v>
      </c>
      <c r="Z11" s="189">
        <v>0</v>
      </c>
      <c r="AA11" s="244">
        <v>0</v>
      </c>
      <c r="AB11" s="253">
        <v>1108786.0393239688</v>
      </c>
      <c r="AC11" s="190">
        <v>0</v>
      </c>
      <c r="AD11" s="190">
        <v>0</v>
      </c>
      <c r="AE11" s="190">
        <v>33033.13875</v>
      </c>
      <c r="AF11" s="190">
        <v>0</v>
      </c>
      <c r="AG11" s="190">
        <v>2981.2599999999998</v>
      </c>
      <c r="AH11" s="190">
        <v>5962.5199999999995</v>
      </c>
      <c r="AI11" s="190">
        <v>2722.0200000000027</v>
      </c>
      <c r="AJ11" s="190">
        <v>0</v>
      </c>
      <c r="AK11" s="190">
        <v>324.04918987499946</v>
      </c>
      <c r="AL11" s="190">
        <v>0</v>
      </c>
      <c r="AM11" s="190">
        <v>0</v>
      </c>
      <c r="AN11" s="190">
        <v>0</v>
      </c>
      <c r="AO11" s="190">
        <v>0</v>
      </c>
      <c r="AP11" s="190">
        <v>0</v>
      </c>
      <c r="AQ11" s="190">
        <v>0</v>
      </c>
      <c r="AR11" s="190">
        <v>0</v>
      </c>
      <c r="AS11" s="189">
        <v>127481.6598260871</v>
      </c>
      <c r="AT11" s="189">
        <v>0</v>
      </c>
      <c r="AU11" s="190">
        <v>60767.35426008967</v>
      </c>
      <c r="AV11" s="190">
        <v>0</v>
      </c>
      <c r="AW11" s="190">
        <v>0</v>
      </c>
      <c r="AX11" s="190">
        <v>0</v>
      </c>
      <c r="AY11" s="190">
        <v>140000</v>
      </c>
      <c r="AZ11" s="191">
        <v>38750</v>
      </c>
      <c r="BA11" s="191">
        <v>1007.5</v>
      </c>
      <c r="BB11" s="190">
        <v>0</v>
      </c>
      <c r="BC11" s="190">
        <v>0</v>
      </c>
      <c r="BD11" s="268">
        <v>0</v>
      </c>
      <c r="BE11" s="253">
        <v>1108786.0393239688</v>
      </c>
      <c r="BF11" s="190">
        <v>233272.00202605175</v>
      </c>
      <c r="BG11" s="190">
        <v>179757.5</v>
      </c>
      <c r="BH11" s="190">
        <v>60767.35426008967</v>
      </c>
      <c r="BI11" s="218">
        <f t="shared" si="0"/>
        <v>1521815.5413500206</v>
      </c>
      <c r="BJ11" s="190">
        <v>1521815.5413500203</v>
      </c>
      <c r="BK11" s="190">
        <v>0</v>
      </c>
      <c r="BL11" s="190">
        <v>1342058.0413500206</v>
      </c>
      <c r="BM11" s="190">
        <v>3856.4886245690245</v>
      </c>
      <c r="BN11" s="190">
        <v>3860.6746073863633</v>
      </c>
      <c r="BO11" s="219">
        <v>-0.0010842620119628837</v>
      </c>
      <c r="BP11" s="220">
        <v>0</v>
      </c>
      <c r="BQ11" s="268">
        <v>0</v>
      </c>
      <c r="BR11" s="266">
        <v>1521815.5413500206</v>
      </c>
      <c r="BS11" s="238">
        <v>-762.12</v>
      </c>
      <c r="BT11" s="254">
        <v>-424.56</v>
      </c>
      <c r="BU11" s="272">
        <v>1520628.8613500204</v>
      </c>
      <c r="BV11" s="10"/>
      <c r="BW11" s="228">
        <v>287373.3454106719</v>
      </c>
      <c r="BX11" s="188">
        <v>82751.07970688901</v>
      </c>
      <c r="BY11" s="188"/>
      <c r="BZ11" s="188"/>
      <c r="CA11" s="229">
        <v>46209</v>
      </c>
      <c r="CC11" s="235">
        <v>43560</v>
      </c>
      <c r="CD11" s="224">
        <v>0</v>
      </c>
      <c r="CE11" s="224">
        <v>0</v>
      </c>
      <c r="CF11" s="224">
        <v>20490</v>
      </c>
      <c r="CG11" s="224">
        <v>131100</v>
      </c>
      <c r="CH11" s="224">
        <v>8813</v>
      </c>
      <c r="CI11" s="224"/>
      <c r="CJ11" s="229"/>
      <c r="CK11" s="2"/>
    </row>
    <row r="12" spans="1:89" ht="15">
      <c r="A12" s="243">
        <v>2020</v>
      </c>
      <c r="B12" s="196" t="s">
        <v>13</v>
      </c>
      <c r="C12" s="189">
        <v>577</v>
      </c>
      <c r="D12" s="189">
        <v>577</v>
      </c>
      <c r="E12" s="189">
        <v>0</v>
      </c>
      <c r="F12" s="189">
        <v>0</v>
      </c>
      <c r="G12" s="189">
        <v>0</v>
      </c>
      <c r="H12" s="189">
        <v>42.899628252788105</v>
      </c>
      <c r="I12" s="189">
        <v>0</v>
      </c>
      <c r="J12" s="189">
        <v>44.000000000000014</v>
      </c>
      <c r="K12" s="189">
        <v>21.99999999999998</v>
      </c>
      <c r="L12" s="189">
        <v>17.99999999999999</v>
      </c>
      <c r="M12" s="189">
        <v>4.000000000000003</v>
      </c>
      <c r="N12" s="189">
        <v>2.0000000000000013</v>
      </c>
      <c r="O12" s="189">
        <v>0</v>
      </c>
      <c r="P12" s="189">
        <v>0</v>
      </c>
      <c r="Q12" s="189">
        <v>0</v>
      </c>
      <c r="R12" s="189">
        <v>0</v>
      </c>
      <c r="S12" s="189">
        <v>0</v>
      </c>
      <c r="T12" s="189">
        <v>0</v>
      </c>
      <c r="U12" s="189">
        <v>0</v>
      </c>
      <c r="V12" s="189">
        <v>48.6769547325103</v>
      </c>
      <c r="W12" s="189">
        <v>0</v>
      </c>
      <c r="X12" s="189">
        <v>189.81917211328988</v>
      </c>
      <c r="Y12" s="189">
        <v>0</v>
      </c>
      <c r="Z12" s="189">
        <v>0</v>
      </c>
      <c r="AA12" s="244">
        <v>0</v>
      </c>
      <c r="AB12" s="253">
        <v>1838418.231867615</v>
      </c>
      <c r="AC12" s="190">
        <v>0</v>
      </c>
      <c r="AD12" s="190">
        <v>0</v>
      </c>
      <c r="AE12" s="190">
        <v>43436.302602230484</v>
      </c>
      <c r="AF12" s="190">
        <v>0</v>
      </c>
      <c r="AG12" s="190">
        <v>2851.6400000000012</v>
      </c>
      <c r="AH12" s="190">
        <v>2851.639999999997</v>
      </c>
      <c r="AI12" s="190">
        <v>3499.739999999998</v>
      </c>
      <c r="AJ12" s="190">
        <v>1036.9574076000006</v>
      </c>
      <c r="AK12" s="190">
        <v>648.0983797500004</v>
      </c>
      <c r="AL12" s="190">
        <v>0</v>
      </c>
      <c r="AM12" s="190">
        <v>0</v>
      </c>
      <c r="AN12" s="190">
        <v>0</v>
      </c>
      <c r="AO12" s="190">
        <v>0</v>
      </c>
      <c r="AP12" s="190">
        <v>0</v>
      </c>
      <c r="AQ12" s="190">
        <v>0</v>
      </c>
      <c r="AR12" s="190">
        <v>0</v>
      </c>
      <c r="AS12" s="189">
        <v>35976.163703703714</v>
      </c>
      <c r="AT12" s="189">
        <v>0</v>
      </c>
      <c r="AU12" s="190">
        <v>111993.31154684103</v>
      </c>
      <c r="AV12" s="190">
        <v>0</v>
      </c>
      <c r="AW12" s="190">
        <v>0</v>
      </c>
      <c r="AX12" s="190">
        <v>0</v>
      </c>
      <c r="AY12" s="190">
        <v>140000</v>
      </c>
      <c r="AZ12" s="191">
        <v>77000</v>
      </c>
      <c r="BA12" s="191">
        <v>2002</v>
      </c>
      <c r="BB12" s="190">
        <v>0</v>
      </c>
      <c r="BC12" s="190">
        <v>0</v>
      </c>
      <c r="BD12" s="268">
        <v>0</v>
      </c>
      <c r="BE12" s="253">
        <v>1838418.231867615</v>
      </c>
      <c r="BF12" s="190">
        <v>202293.85364012522</v>
      </c>
      <c r="BG12" s="190">
        <v>219002</v>
      </c>
      <c r="BH12" s="190">
        <v>111993.31154684103</v>
      </c>
      <c r="BI12" s="218">
        <f t="shared" si="0"/>
        <v>2259714.0855077403</v>
      </c>
      <c r="BJ12" s="190">
        <v>2259714.0855077403</v>
      </c>
      <c r="BK12" s="190">
        <v>0</v>
      </c>
      <c r="BL12" s="190">
        <v>2040712.0855077403</v>
      </c>
      <c r="BM12" s="190">
        <v>3536.7627131849918</v>
      </c>
      <c r="BN12" s="190">
        <v>3509.086367771639</v>
      </c>
      <c r="BO12" s="219">
        <v>0.007887051646132072</v>
      </c>
      <c r="BP12" s="220">
        <v>0</v>
      </c>
      <c r="BQ12" s="268">
        <v>0</v>
      </c>
      <c r="BR12" s="266">
        <v>2259714.0855077403</v>
      </c>
      <c r="BS12" s="238">
        <v>-1263.6299999999999</v>
      </c>
      <c r="BT12" s="254">
        <v>-703.9399999999999</v>
      </c>
      <c r="BU12" s="272">
        <v>2257746.5155077404</v>
      </c>
      <c r="BV12" s="10"/>
      <c r="BW12" s="228">
        <v>146967.23352556006</v>
      </c>
      <c r="BX12" s="188">
        <v>40412.149950105675</v>
      </c>
      <c r="BY12" s="188">
        <v>63349</v>
      </c>
      <c r="BZ12" s="188"/>
      <c r="CA12" s="229">
        <v>87700</v>
      </c>
      <c r="CC12" s="235">
        <v>52800</v>
      </c>
      <c r="CD12" s="224">
        <v>12300</v>
      </c>
      <c r="CE12" s="224">
        <v>0</v>
      </c>
      <c r="CF12" s="224">
        <v>21920</v>
      </c>
      <c r="CG12" s="224">
        <v>98543.5</v>
      </c>
      <c r="CH12" s="224">
        <v>10095</v>
      </c>
      <c r="CI12" s="224"/>
      <c r="CJ12" s="229"/>
      <c r="CK12" s="2"/>
    </row>
    <row r="13" spans="1:89" ht="15">
      <c r="A13" s="243">
        <v>2023</v>
      </c>
      <c r="B13" s="196" t="s">
        <v>14</v>
      </c>
      <c r="C13" s="189">
        <v>280</v>
      </c>
      <c r="D13" s="189">
        <v>280</v>
      </c>
      <c r="E13" s="189">
        <v>0</v>
      </c>
      <c r="F13" s="189">
        <v>0</v>
      </c>
      <c r="G13" s="189">
        <v>0</v>
      </c>
      <c r="H13" s="189">
        <v>60.64981949458484</v>
      </c>
      <c r="I13" s="189">
        <v>0</v>
      </c>
      <c r="J13" s="189">
        <v>113.00000000000013</v>
      </c>
      <c r="K13" s="189">
        <v>50.99999999999996</v>
      </c>
      <c r="L13" s="189">
        <v>1.9999999999999991</v>
      </c>
      <c r="M13" s="189">
        <v>0</v>
      </c>
      <c r="N13" s="189">
        <v>0</v>
      </c>
      <c r="O13" s="189">
        <v>0</v>
      </c>
      <c r="P13" s="189">
        <v>0</v>
      </c>
      <c r="Q13" s="189">
        <v>0</v>
      </c>
      <c r="R13" s="189">
        <v>0</v>
      </c>
      <c r="S13" s="189">
        <v>0</v>
      </c>
      <c r="T13" s="189">
        <v>0</v>
      </c>
      <c r="U13" s="189">
        <v>0</v>
      </c>
      <c r="V13" s="189">
        <v>19.00000000000001</v>
      </c>
      <c r="W13" s="189">
        <v>0</v>
      </c>
      <c r="X13" s="189">
        <v>108.4870848708486</v>
      </c>
      <c r="Y13" s="189">
        <v>0</v>
      </c>
      <c r="Z13" s="189">
        <v>0</v>
      </c>
      <c r="AA13" s="244">
        <v>0</v>
      </c>
      <c r="AB13" s="253">
        <v>892126.6983066415</v>
      </c>
      <c r="AC13" s="190">
        <v>0</v>
      </c>
      <c r="AD13" s="190">
        <v>0</v>
      </c>
      <c r="AE13" s="190">
        <v>61408.54873646209</v>
      </c>
      <c r="AF13" s="190">
        <v>0</v>
      </c>
      <c r="AG13" s="190">
        <v>7323.530000000009</v>
      </c>
      <c r="AH13" s="190">
        <v>6610.619999999994</v>
      </c>
      <c r="AI13" s="190">
        <v>388.85999999999984</v>
      </c>
      <c r="AJ13" s="190">
        <v>0</v>
      </c>
      <c r="AK13" s="190">
        <v>0</v>
      </c>
      <c r="AL13" s="190">
        <v>0</v>
      </c>
      <c r="AM13" s="190">
        <v>0</v>
      </c>
      <c r="AN13" s="190">
        <v>0</v>
      </c>
      <c r="AO13" s="190">
        <v>0</v>
      </c>
      <c r="AP13" s="190">
        <v>0</v>
      </c>
      <c r="AQ13" s="190">
        <v>0</v>
      </c>
      <c r="AR13" s="190">
        <v>0</v>
      </c>
      <c r="AS13" s="189">
        <v>14042.52000000001</v>
      </c>
      <c r="AT13" s="189">
        <v>0</v>
      </c>
      <c r="AU13" s="190">
        <v>64007.380073800676</v>
      </c>
      <c r="AV13" s="190">
        <v>0</v>
      </c>
      <c r="AW13" s="190">
        <v>0</v>
      </c>
      <c r="AX13" s="190">
        <v>0</v>
      </c>
      <c r="AY13" s="190">
        <v>140000</v>
      </c>
      <c r="AZ13" s="191">
        <v>46250</v>
      </c>
      <c r="BA13" s="191">
        <v>1202.5</v>
      </c>
      <c r="BB13" s="190">
        <v>0</v>
      </c>
      <c r="BC13" s="190">
        <v>0</v>
      </c>
      <c r="BD13" s="268">
        <v>0</v>
      </c>
      <c r="BE13" s="253">
        <v>892126.6983066415</v>
      </c>
      <c r="BF13" s="190">
        <v>153781.4588102628</v>
      </c>
      <c r="BG13" s="190">
        <v>187452.5</v>
      </c>
      <c r="BH13" s="190">
        <v>64007.380073800676</v>
      </c>
      <c r="BI13" s="218">
        <f t="shared" si="0"/>
        <v>1233360.6571169044</v>
      </c>
      <c r="BJ13" s="190">
        <v>1233360.6571169044</v>
      </c>
      <c r="BK13" s="190">
        <v>0</v>
      </c>
      <c r="BL13" s="190">
        <v>1045908.1571169044</v>
      </c>
      <c r="BM13" s="190">
        <v>3735.3862754175157</v>
      </c>
      <c r="BN13" s="190">
        <v>3697.46757385159</v>
      </c>
      <c r="BO13" s="219">
        <v>0.01025531686446315</v>
      </c>
      <c r="BP13" s="220">
        <v>0</v>
      </c>
      <c r="BQ13" s="268">
        <v>0</v>
      </c>
      <c r="BR13" s="266">
        <v>1233360.6571169044</v>
      </c>
      <c r="BS13" s="238">
        <v>-613.1999999999999</v>
      </c>
      <c r="BT13" s="254">
        <v>-341.59999999999997</v>
      </c>
      <c r="BU13" s="272">
        <v>1232405.8571169043</v>
      </c>
      <c r="BV13" s="10"/>
      <c r="BW13" s="228"/>
      <c r="BX13" s="188"/>
      <c r="BY13" s="188"/>
      <c r="BZ13" s="188"/>
      <c r="CA13" s="229">
        <v>54518</v>
      </c>
      <c r="CC13" s="235">
        <v>79200</v>
      </c>
      <c r="CD13" s="224">
        <v>600</v>
      </c>
      <c r="CE13" s="224">
        <v>6900</v>
      </c>
      <c r="CF13" s="224">
        <v>18830</v>
      </c>
      <c r="CG13" s="224"/>
      <c r="CH13" s="224">
        <v>7330</v>
      </c>
      <c r="CI13" s="224"/>
      <c r="CJ13" s="229"/>
      <c r="CK13" s="2"/>
    </row>
    <row r="14" spans="1:89" ht="15">
      <c r="A14" s="243">
        <v>2024</v>
      </c>
      <c r="B14" s="187" t="s">
        <v>87</v>
      </c>
      <c r="C14" s="189">
        <v>201</v>
      </c>
      <c r="D14" s="189">
        <v>201</v>
      </c>
      <c r="E14" s="189">
        <v>0</v>
      </c>
      <c r="F14" s="189">
        <v>0</v>
      </c>
      <c r="G14" s="189">
        <v>0</v>
      </c>
      <c r="H14" s="189">
        <v>37.289592760180994</v>
      </c>
      <c r="I14" s="189">
        <v>0</v>
      </c>
      <c r="J14" s="189">
        <v>99.99999999999994</v>
      </c>
      <c r="K14" s="189">
        <v>35.99999999999994</v>
      </c>
      <c r="L14" s="189">
        <v>0</v>
      </c>
      <c r="M14" s="189">
        <v>0</v>
      </c>
      <c r="N14" s="189">
        <v>0</v>
      </c>
      <c r="O14" s="189">
        <v>0</v>
      </c>
      <c r="P14" s="189">
        <v>0</v>
      </c>
      <c r="Q14" s="189">
        <v>0</v>
      </c>
      <c r="R14" s="189">
        <v>0</v>
      </c>
      <c r="S14" s="189">
        <v>0</v>
      </c>
      <c r="T14" s="189">
        <v>0</v>
      </c>
      <c r="U14" s="189">
        <v>0</v>
      </c>
      <c r="V14" s="189">
        <v>32.514705882352956</v>
      </c>
      <c r="W14" s="189">
        <v>0</v>
      </c>
      <c r="X14" s="189">
        <v>57.00000000000004</v>
      </c>
      <c r="Y14" s="189">
        <v>0</v>
      </c>
      <c r="Z14" s="189">
        <v>0</v>
      </c>
      <c r="AA14" s="244">
        <v>0</v>
      </c>
      <c r="AB14" s="253">
        <v>640419.522712982</v>
      </c>
      <c r="AC14" s="190">
        <v>0</v>
      </c>
      <c r="AD14" s="190">
        <v>0</v>
      </c>
      <c r="AE14" s="190">
        <v>37756.08556561086</v>
      </c>
      <c r="AF14" s="190">
        <v>0</v>
      </c>
      <c r="AG14" s="190">
        <v>6480.999999999996</v>
      </c>
      <c r="AH14" s="190">
        <v>4666.319999999992</v>
      </c>
      <c r="AI14" s="190">
        <v>0</v>
      </c>
      <c r="AJ14" s="190">
        <v>0</v>
      </c>
      <c r="AK14" s="190">
        <v>0</v>
      </c>
      <c r="AL14" s="190">
        <v>0</v>
      </c>
      <c r="AM14" s="190">
        <v>0</v>
      </c>
      <c r="AN14" s="190">
        <v>0</v>
      </c>
      <c r="AO14" s="190">
        <v>0</v>
      </c>
      <c r="AP14" s="190">
        <v>0</v>
      </c>
      <c r="AQ14" s="190">
        <v>0</v>
      </c>
      <c r="AR14" s="190">
        <v>0</v>
      </c>
      <c r="AS14" s="189">
        <v>24030.968823529423</v>
      </c>
      <c r="AT14" s="189">
        <v>0</v>
      </c>
      <c r="AU14" s="190">
        <v>33630.00000000002</v>
      </c>
      <c r="AV14" s="190">
        <v>0</v>
      </c>
      <c r="AW14" s="190">
        <v>0</v>
      </c>
      <c r="AX14" s="190">
        <v>0</v>
      </c>
      <c r="AY14" s="190">
        <v>140000</v>
      </c>
      <c r="AZ14" s="191">
        <v>22200</v>
      </c>
      <c r="BA14" s="191">
        <v>-6404.22</v>
      </c>
      <c r="BB14" s="190">
        <v>0</v>
      </c>
      <c r="BC14" s="190">
        <v>0</v>
      </c>
      <c r="BD14" s="268">
        <v>0</v>
      </c>
      <c r="BE14" s="253">
        <v>640419.522712982</v>
      </c>
      <c r="BF14" s="190">
        <v>106564.37438914031</v>
      </c>
      <c r="BG14" s="190">
        <v>155795.78</v>
      </c>
      <c r="BH14" s="190">
        <v>33630.00000000002</v>
      </c>
      <c r="BI14" s="218">
        <f t="shared" si="0"/>
        <v>902779.6771021223</v>
      </c>
      <c r="BJ14" s="190">
        <v>902779.6771021223</v>
      </c>
      <c r="BK14" s="190">
        <v>0</v>
      </c>
      <c r="BL14" s="190">
        <v>746983.8971021223</v>
      </c>
      <c r="BM14" s="190">
        <v>3716.3377965279715</v>
      </c>
      <c r="BN14" s="190">
        <v>3704.282724778761</v>
      </c>
      <c r="BO14" s="219">
        <v>0.00325436059957615</v>
      </c>
      <c r="BP14" s="220">
        <v>0</v>
      </c>
      <c r="BQ14" s="268">
        <v>0</v>
      </c>
      <c r="BR14" s="266">
        <v>902779.6771021223</v>
      </c>
      <c r="BS14" s="238">
        <v>-440.19</v>
      </c>
      <c r="BT14" s="254">
        <v>-245.22</v>
      </c>
      <c r="BU14" s="272">
        <v>902094.2671021224</v>
      </c>
      <c r="BV14" s="10"/>
      <c r="BW14" s="228">
        <v>164307.27089331232</v>
      </c>
      <c r="BX14" s="188">
        <v>68908.13568174423</v>
      </c>
      <c r="BY14" s="188"/>
      <c r="BZ14" s="188"/>
      <c r="CA14" s="229">
        <v>2542</v>
      </c>
      <c r="CC14" s="235">
        <v>52800</v>
      </c>
      <c r="CD14" s="224">
        <v>0</v>
      </c>
      <c r="CE14" s="224">
        <v>0</v>
      </c>
      <c r="CF14" s="224">
        <v>18700</v>
      </c>
      <c r="CG14" s="224">
        <v>72979</v>
      </c>
      <c r="CH14" s="224">
        <v>6741</v>
      </c>
      <c r="CI14" s="224"/>
      <c r="CJ14" s="229"/>
      <c r="CK14" s="2"/>
    </row>
    <row r="15" spans="1:89" ht="15">
      <c r="A15" s="243">
        <v>2025</v>
      </c>
      <c r="B15" s="187" t="s">
        <v>88</v>
      </c>
      <c r="C15" s="189">
        <v>496</v>
      </c>
      <c r="D15" s="189">
        <v>496</v>
      </c>
      <c r="E15" s="189">
        <v>0</v>
      </c>
      <c r="F15" s="189">
        <v>0</v>
      </c>
      <c r="G15" s="189">
        <v>0</v>
      </c>
      <c r="H15" s="189">
        <v>69.57915831663327</v>
      </c>
      <c r="I15" s="189">
        <v>0</v>
      </c>
      <c r="J15" s="189">
        <v>18.000000000000018</v>
      </c>
      <c r="K15" s="189">
        <v>67.9999999999998</v>
      </c>
      <c r="L15" s="189">
        <v>2.0000000000000004</v>
      </c>
      <c r="M15" s="189">
        <v>2.0000000000000004</v>
      </c>
      <c r="N15" s="189">
        <v>0</v>
      </c>
      <c r="O15" s="189">
        <v>0</v>
      </c>
      <c r="P15" s="189">
        <v>0</v>
      </c>
      <c r="Q15" s="189">
        <v>0</v>
      </c>
      <c r="R15" s="189">
        <v>0</v>
      </c>
      <c r="S15" s="189">
        <v>0</v>
      </c>
      <c r="T15" s="189">
        <v>0</v>
      </c>
      <c r="U15" s="189">
        <v>0</v>
      </c>
      <c r="V15" s="189">
        <v>103.0502283105025</v>
      </c>
      <c r="W15" s="189">
        <v>0</v>
      </c>
      <c r="X15" s="189">
        <v>189.069306930693</v>
      </c>
      <c r="Y15" s="189">
        <v>0</v>
      </c>
      <c r="Z15" s="189">
        <v>21.400000000000208</v>
      </c>
      <c r="AA15" s="244">
        <v>0</v>
      </c>
      <c r="AB15" s="253">
        <v>1580338.7227146223</v>
      </c>
      <c r="AC15" s="190">
        <v>0</v>
      </c>
      <c r="AD15" s="190">
        <v>0</v>
      </c>
      <c r="AE15" s="190">
        <v>70449.59358717436</v>
      </c>
      <c r="AF15" s="190">
        <v>0</v>
      </c>
      <c r="AG15" s="190">
        <v>1166.5800000000013</v>
      </c>
      <c r="AH15" s="190">
        <v>8814.159999999974</v>
      </c>
      <c r="AI15" s="190">
        <v>388.8600000000001</v>
      </c>
      <c r="AJ15" s="190">
        <v>518.4787038000001</v>
      </c>
      <c r="AK15" s="190">
        <v>0</v>
      </c>
      <c r="AL15" s="190">
        <v>0</v>
      </c>
      <c r="AM15" s="190">
        <v>0</v>
      </c>
      <c r="AN15" s="190">
        <v>0</v>
      </c>
      <c r="AO15" s="190">
        <v>0</v>
      </c>
      <c r="AP15" s="190">
        <v>0</v>
      </c>
      <c r="AQ15" s="190">
        <v>0</v>
      </c>
      <c r="AR15" s="190">
        <v>0</v>
      </c>
      <c r="AS15" s="189">
        <v>76162.36273972619</v>
      </c>
      <c r="AT15" s="189">
        <v>0</v>
      </c>
      <c r="AU15" s="190">
        <v>111550.89108910886</v>
      </c>
      <c r="AV15" s="190">
        <v>0</v>
      </c>
      <c r="AW15" s="190">
        <v>17120.000000000167</v>
      </c>
      <c r="AX15" s="190">
        <v>0</v>
      </c>
      <c r="AY15" s="190">
        <v>140000</v>
      </c>
      <c r="AZ15" s="191">
        <v>63500</v>
      </c>
      <c r="BA15" s="191">
        <v>6285.72</v>
      </c>
      <c r="BB15" s="190">
        <v>0</v>
      </c>
      <c r="BC15" s="190">
        <v>0</v>
      </c>
      <c r="BD15" s="268">
        <v>0</v>
      </c>
      <c r="BE15" s="253">
        <v>1580338.7227146223</v>
      </c>
      <c r="BF15" s="190">
        <v>286170.92611980956</v>
      </c>
      <c r="BG15" s="190">
        <v>209785.72</v>
      </c>
      <c r="BH15" s="190">
        <v>111550.89108910886</v>
      </c>
      <c r="BI15" s="218">
        <f t="shared" si="0"/>
        <v>2076295.3688344317</v>
      </c>
      <c r="BJ15" s="190">
        <v>2076295.3688344317</v>
      </c>
      <c r="BK15" s="190">
        <v>0</v>
      </c>
      <c r="BL15" s="190">
        <v>1866509.6488344318</v>
      </c>
      <c r="BM15" s="190">
        <v>3763.1242920049026</v>
      </c>
      <c r="BN15" s="190">
        <v>3734.0808180555555</v>
      </c>
      <c r="BO15" s="219">
        <v>0.00777794465746751</v>
      </c>
      <c r="BP15" s="220">
        <v>0</v>
      </c>
      <c r="BQ15" s="268">
        <v>0</v>
      </c>
      <c r="BR15" s="266">
        <v>2076295.3688344317</v>
      </c>
      <c r="BS15" s="238">
        <v>-1086.24</v>
      </c>
      <c r="BT15" s="254">
        <v>-605.12</v>
      </c>
      <c r="BU15" s="272">
        <v>2074604.0088344316</v>
      </c>
      <c r="BV15" s="10"/>
      <c r="BW15" s="228">
        <v>140812.40074675065</v>
      </c>
      <c r="BX15" s="188">
        <v>0</v>
      </c>
      <c r="BY15" s="188"/>
      <c r="BZ15" s="188"/>
      <c r="CA15" s="229">
        <v>54642</v>
      </c>
      <c r="CC15" s="235">
        <v>92400</v>
      </c>
      <c r="CD15" s="224">
        <v>3600</v>
      </c>
      <c r="CE15" s="224">
        <v>4600</v>
      </c>
      <c r="CF15" s="224">
        <v>21440</v>
      </c>
      <c r="CG15" s="224">
        <v>73197.49999999999</v>
      </c>
      <c r="CH15" s="224">
        <v>9933</v>
      </c>
      <c r="CI15" s="224"/>
      <c r="CJ15" s="229"/>
      <c r="CK15" s="2"/>
    </row>
    <row r="16" spans="1:89" ht="15">
      <c r="A16" s="243">
        <v>2026</v>
      </c>
      <c r="B16" s="187" t="s">
        <v>89</v>
      </c>
      <c r="C16" s="189">
        <v>192</v>
      </c>
      <c r="D16" s="189">
        <v>192</v>
      </c>
      <c r="E16" s="189">
        <v>0</v>
      </c>
      <c r="F16" s="189">
        <v>0</v>
      </c>
      <c r="G16" s="189">
        <v>0</v>
      </c>
      <c r="H16" s="189">
        <v>40.577319587628864</v>
      </c>
      <c r="I16" s="189">
        <v>0</v>
      </c>
      <c r="J16" s="189">
        <v>14.000000000000007</v>
      </c>
      <c r="K16" s="189">
        <v>87.99999999999993</v>
      </c>
      <c r="L16" s="189">
        <v>3.999999999999994</v>
      </c>
      <c r="M16" s="189">
        <v>33.999999999999936</v>
      </c>
      <c r="N16" s="189">
        <v>9</v>
      </c>
      <c r="O16" s="189">
        <v>0</v>
      </c>
      <c r="P16" s="189">
        <v>0</v>
      </c>
      <c r="Q16" s="189">
        <v>0</v>
      </c>
      <c r="R16" s="189">
        <v>0</v>
      </c>
      <c r="S16" s="189">
        <v>0</v>
      </c>
      <c r="T16" s="189">
        <v>0</v>
      </c>
      <c r="U16" s="189">
        <v>0</v>
      </c>
      <c r="V16" s="189">
        <v>46.57988165680474</v>
      </c>
      <c r="W16" s="189">
        <v>0</v>
      </c>
      <c r="X16" s="189">
        <v>50.400000000000006</v>
      </c>
      <c r="Y16" s="189">
        <v>0</v>
      </c>
      <c r="Z16" s="189">
        <v>0</v>
      </c>
      <c r="AA16" s="244">
        <v>0</v>
      </c>
      <c r="AB16" s="253">
        <v>611744.0216959828</v>
      </c>
      <c r="AC16" s="190">
        <v>0</v>
      </c>
      <c r="AD16" s="190">
        <v>0</v>
      </c>
      <c r="AE16" s="190">
        <v>41084.9418556701</v>
      </c>
      <c r="AF16" s="190">
        <v>0</v>
      </c>
      <c r="AG16" s="190">
        <v>907.3400000000005</v>
      </c>
      <c r="AH16" s="190">
        <v>11406.55999999999</v>
      </c>
      <c r="AI16" s="190">
        <v>777.7199999999988</v>
      </c>
      <c r="AJ16" s="190">
        <v>8814.137964599982</v>
      </c>
      <c r="AK16" s="190">
        <v>2916.442708875</v>
      </c>
      <c r="AL16" s="190">
        <v>0</v>
      </c>
      <c r="AM16" s="190">
        <v>0</v>
      </c>
      <c r="AN16" s="190">
        <v>0</v>
      </c>
      <c r="AO16" s="190">
        <v>0</v>
      </c>
      <c r="AP16" s="190">
        <v>0</v>
      </c>
      <c r="AQ16" s="190">
        <v>0</v>
      </c>
      <c r="AR16" s="190">
        <v>0</v>
      </c>
      <c r="AS16" s="189">
        <v>34426.258934911246</v>
      </c>
      <c r="AT16" s="189">
        <v>0</v>
      </c>
      <c r="AU16" s="190">
        <v>29736.000000000004</v>
      </c>
      <c r="AV16" s="190">
        <v>0</v>
      </c>
      <c r="AW16" s="190">
        <v>0</v>
      </c>
      <c r="AX16" s="190">
        <v>0</v>
      </c>
      <c r="AY16" s="190">
        <v>140000</v>
      </c>
      <c r="AZ16" s="191">
        <v>16320</v>
      </c>
      <c r="BA16" s="191">
        <v>-2708.74</v>
      </c>
      <c r="BB16" s="190">
        <v>0</v>
      </c>
      <c r="BC16" s="190">
        <v>0</v>
      </c>
      <c r="BD16" s="268">
        <v>0</v>
      </c>
      <c r="BE16" s="253">
        <v>611744.0216959828</v>
      </c>
      <c r="BF16" s="190">
        <v>130069.40146405631</v>
      </c>
      <c r="BG16" s="190">
        <v>153611.26</v>
      </c>
      <c r="BH16" s="190">
        <v>29736.000000000004</v>
      </c>
      <c r="BI16" s="218">
        <f t="shared" si="0"/>
        <v>895424.6831600391</v>
      </c>
      <c r="BJ16" s="190">
        <v>895424.683160039</v>
      </c>
      <c r="BK16" s="190">
        <v>0</v>
      </c>
      <c r="BL16" s="190">
        <v>741813.4231600391</v>
      </c>
      <c r="BM16" s="190">
        <v>3863.611578958537</v>
      </c>
      <c r="BN16" s="190">
        <v>3802.8846559405943</v>
      </c>
      <c r="BO16" s="219">
        <v>0.015968647096114112</v>
      </c>
      <c r="BP16" s="220">
        <v>0</v>
      </c>
      <c r="BQ16" s="268">
        <v>0</v>
      </c>
      <c r="BR16" s="266">
        <v>895424.6831600391</v>
      </c>
      <c r="BS16" s="238">
        <v>-420.48</v>
      </c>
      <c r="BT16" s="254">
        <v>-234.24</v>
      </c>
      <c r="BU16" s="272">
        <v>894769.9631600392</v>
      </c>
      <c r="BV16" s="10"/>
      <c r="BW16" s="228">
        <v>67916.75526057347</v>
      </c>
      <c r="BX16" s="188">
        <v>0</v>
      </c>
      <c r="BY16" s="188"/>
      <c r="BZ16" s="188"/>
      <c r="CA16" s="229">
        <v>31342</v>
      </c>
      <c r="CC16" s="235">
        <v>52800</v>
      </c>
      <c r="CD16" s="224">
        <v>0</v>
      </c>
      <c r="CE16" s="224">
        <v>0</v>
      </c>
      <c r="CF16" s="224">
        <v>18220</v>
      </c>
      <c r="CG16" s="224">
        <v>27312.5</v>
      </c>
      <c r="CH16" s="224">
        <v>6475</v>
      </c>
      <c r="CI16" s="224"/>
      <c r="CJ16" s="229"/>
      <c r="CK16" s="2"/>
    </row>
    <row r="17" spans="1:89" ht="15">
      <c r="A17" s="243">
        <v>2029</v>
      </c>
      <c r="B17" s="187" t="s">
        <v>90</v>
      </c>
      <c r="C17" s="189">
        <v>404</v>
      </c>
      <c r="D17" s="189">
        <v>404</v>
      </c>
      <c r="E17" s="189">
        <v>0</v>
      </c>
      <c r="F17" s="189">
        <v>0</v>
      </c>
      <c r="G17" s="189">
        <v>0</v>
      </c>
      <c r="H17" s="189">
        <v>70.34825870646766</v>
      </c>
      <c r="I17" s="189">
        <v>0</v>
      </c>
      <c r="J17" s="189">
        <v>40.09925558312656</v>
      </c>
      <c r="K17" s="189">
        <v>65.16129032258057</v>
      </c>
      <c r="L17" s="189">
        <v>31.076923076923066</v>
      </c>
      <c r="M17" s="189">
        <v>54.13399503722097</v>
      </c>
      <c r="N17" s="189">
        <v>1.002481389578163</v>
      </c>
      <c r="O17" s="189">
        <v>0</v>
      </c>
      <c r="P17" s="189">
        <v>0</v>
      </c>
      <c r="Q17" s="189">
        <v>0</v>
      </c>
      <c r="R17" s="189">
        <v>0</v>
      </c>
      <c r="S17" s="189">
        <v>0</v>
      </c>
      <c r="T17" s="189">
        <v>0</v>
      </c>
      <c r="U17" s="189">
        <v>0</v>
      </c>
      <c r="V17" s="189">
        <v>93.41040462427748</v>
      </c>
      <c r="W17" s="189">
        <v>0</v>
      </c>
      <c r="X17" s="189">
        <v>103.17538461538446</v>
      </c>
      <c r="Y17" s="189">
        <v>0</v>
      </c>
      <c r="Z17" s="189">
        <v>0</v>
      </c>
      <c r="AA17" s="244">
        <v>0</v>
      </c>
      <c r="AB17" s="253">
        <v>1287211.3789852972</v>
      </c>
      <c r="AC17" s="190">
        <v>0</v>
      </c>
      <c r="AD17" s="190">
        <v>0</v>
      </c>
      <c r="AE17" s="190">
        <v>71228.31542288557</v>
      </c>
      <c r="AF17" s="190">
        <v>0</v>
      </c>
      <c r="AG17" s="190">
        <v>2598.8327543424325</v>
      </c>
      <c r="AH17" s="190">
        <v>8446.206451612894</v>
      </c>
      <c r="AI17" s="190">
        <v>6042.286153846152</v>
      </c>
      <c r="AJ17" s="190">
        <v>14033.661789206979</v>
      </c>
      <c r="AK17" s="190">
        <v>324.85328215756795</v>
      </c>
      <c r="AL17" s="190">
        <v>0</v>
      </c>
      <c r="AM17" s="190">
        <v>0</v>
      </c>
      <c r="AN17" s="190">
        <v>0</v>
      </c>
      <c r="AO17" s="190">
        <v>0</v>
      </c>
      <c r="AP17" s="190">
        <v>0</v>
      </c>
      <c r="AQ17" s="190">
        <v>0</v>
      </c>
      <c r="AR17" s="190">
        <v>0</v>
      </c>
      <c r="AS17" s="189">
        <v>69037.761849711</v>
      </c>
      <c r="AT17" s="189">
        <v>0</v>
      </c>
      <c r="AU17" s="190">
        <v>60873.47692307683</v>
      </c>
      <c r="AV17" s="190">
        <v>0</v>
      </c>
      <c r="AW17" s="190">
        <v>0</v>
      </c>
      <c r="AX17" s="190">
        <v>0</v>
      </c>
      <c r="AY17" s="190">
        <v>140000</v>
      </c>
      <c r="AZ17" s="191">
        <v>48500</v>
      </c>
      <c r="BA17" s="191">
        <v>1261</v>
      </c>
      <c r="BB17" s="190">
        <v>0</v>
      </c>
      <c r="BC17" s="190">
        <v>0</v>
      </c>
      <c r="BD17" s="268">
        <v>0</v>
      </c>
      <c r="BE17" s="253">
        <v>1287211.3789852972</v>
      </c>
      <c r="BF17" s="190">
        <v>232585.39462683944</v>
      </c>
      <c r="BG17" s="190">
        <v>189761</v>
      </c>
      <c r="BH17" s="190">
        <v>60873.47692307683</v>
      </c>
      <c r="BI17" s="218">
        <f t="shared" si="0"/>
        <v>1709557.7736121365</v>
      </c>
      <c r="BJ17" s="190">
        <v>1709557.7736121367</v>
      </c>
      <c r="BK17" s="190">
        <v>0</v>
      </c>
      <c r="BL17" s="190">
        <v>1519796.7736121365</v>
      </c>
      <c r="BM17" s="190">
        <v>3761.873202010239</v>
      </c>
      <c r="BN17" s="190">
        <v>3737.9383439613525</v>
      </c>
      <c r="BO17" s="219">
        <v>0.006403224410470317</v>
      </c>
      <c r="BP17" s="220">
        <v>0</v>
      </c>
      <c r="BQ17" s="268">
        <v>0</v>
      </c>
      <c r="BR17" s="266">
        <v>1709557.7736121365</v>
      </c>
      <c r="BS17" s="238">
        <v>-884.76</v>
      </c>
      <c r="BT17" s="254">
        <v>-492.88</v>
      </c>
      <c r="BU17" s="272">
        <v>1708180.1336121366</v>
      </c>
      <c r="BV17" s="10"/>
      <c r="BW17" s="228">
        <v>121152.54286377787</v>
      </c>
      <c r="BX17" s="188">
        <v>0</v>
      </c>
      <c r="BY17" s="188"/>
      <c r="BZ17" s="188"/>
      <c r="CA17" s="229">
        <v>65684</v>
      </c>
      <c r="CC17" s="235">
        <v>92400</v>
      </c>
      <c r="CD17" s="224">
        <v>0</v>
      </c>
      <c r="CE17" s="224">
        <v>2300</v>
      </c>
      <c r="CF17" s="224">
        <v>20540</v>
      </c>
      <c r="CG17" s="224">
        <v>54406.49999999999</v>
      </c>
      <c r="CH17" s="224">
        <v>8766</v>
      </c>
      <c r="CI17" s="224"/>
      <c r="CJ17" s="229"/>
      <c r="CK17" s="2"/>
    </row>
    <row r="18" spans="1:89" ht="15">
      <c r="A18" s="243">
        <v>2032</v>
      </c>
      <c r="B18" s="187" t="s">
        <v>91</v>
      </c>
      <c r="C18" s="189">
        <v>323</v>
      </c>
      <c r="D18" s="189">
        <v>323</v>
      </c>
      <c r="E18" s="189">
        <v>0</v>
      </c>
      <c r="F18" s="189">
        <v>0</v>
      </c>
      <c r="G18" s="189">
        <v>0</v>
      </c>
      <c r="H18" s="189">
        <v>52.605863192182404</v>
      </c>
      <c r="I18" s="189">
        <v>0</v>
      </c>
      <c r="J18" s="189">
        <v>33.0000000000001</v>
      </c>
      <c r="K18" s="189">
        <v>13.000000000000016</v>
      </c>
      <c r="L18" s="189">
        <v>2.0000000000000018</v>
      </c>
      <c r="M18" s="189">
        <v>0</v>
      </c>
      <c r="N18" s="189">
        <v>0</v>
      </c>
      <c r="O18" s="189">
        <v>0</v>
      </c>
      <c r="P18" s="189">
        <v>0</v>
      </c>
      <c r="Q18" s="189">
        <v>0</v>
      </c>
      <c r="R18" s="189">
        <v>0</v>
      </c>
      <c r="S18" s="189">
        <v>0</v>
      </c>
      <c r="T18" s="189">
        <v>0</v>
      </c>
      <c r="U18" s="189">
        <v>0</v>
      </c>
      <c r="V18" s="189">
        <v>30.093167701863344</v>
      </c>
      <c r="W18" s="189">
        <v>0</v>
      </c>
      <c r="X18" s="189">
        <v>130.94594594594582</v>
      </c>
      <c r="Y18" s="189">
        <v>0</v>
      </c>
      <c r="Z18" s="189">
        <v>0</v>
      </c>
      <c r="AA18" s="244">
        <v>0</v>
      </c>
      <c r="AB18" s="253">
        <v>1029131.8698323044</v>
      </c>
      <c r="AC18" s="190">
        <v>0</v>
      </c>
      <c r="AD18" s="190">
        <v>0</v>
      </c>
      <c r="AE18" s="190">
        <v>53263.96254071661</v>
      </c>
      <c r="AF18" s="190">
        <v>0</v>
      </c>
      <c r="AG18" s="190">
        <v>2138.7300000000064</v>
      </c>
      <c r="AH18" s="190">
        <v>1685.0600000000022</v>
      </c>
      <c r="AI18" s="190">
        <v>388.86000000000035</v>
      </c>
      <c r="AJ18" s="190">
        <v>0</v>
      </c>
      <c r="AK18" s="190">
        <v>0</v>
      </c>
      <c r="AL18" s="190">
        <v>0</v>
      </c>
      <c r="AM18" s="190">
        <v>0</v>
      </c>
      <c r="AN18" s="190">
        <v>0</v>
      </c>
      <c r="AO18" s="190">
        <v>0</v>
      </c>
      <c r="AP18" s="190">
        <v>0</v>
      </c>
      <c r="AQ18" s="190">
        <v>0</v>
      </c>
      <c r="AR18" s="190">
        <v>0</v>
      </c>
      <c r="AS18" s="189">
        <v>22241.258385093162</v>
      </c>
      <c r="AT18" s="189">
        <v>0</v>
      </c>
      <c r="AU18" s="190">
        <v>77258.10810810803</v>
      </c>
      <c r="AV18" s="190">
        <v>0</v>
      </c>
      <c r="AW18" s="190">
        <v>0</v>
      </c>
      <c r="AX18" s="190">
        <v>0</v>
      </c>
      <c r="AY18" s="190">
        <v>140000</v>
      </c>
      <c r="AZ18" s="191">
        <v>19250</v>
      </c>
      <c r="BA18" s="191">
        <v>-10766.95</v>
      </c>
      <c r="BB18" s="190">
        <v>0</v>
      </c>
      <c r="BC18" s="190">
        <v>0</v>
      </c>
      <c r="BD18" s="268">
        <v>0</v>
      </c>
      <c r="BE18" s="253">
        <v>1029131.8698323044</v>
      </c>
      <c r="BF18" s="190">
        <v>156975.97903391783</v>
      </c>
      <c r="BG18" s="190">
        <v>148483.05</v>
      </c>
      <c r="BH18" s="190">
        <v>77258.10810810803</v>
      </c>
      <c r="BI18" s="218">
        <f t="shared" si="0"/>
        <v>1334590.8988662222</v>
      </c>
      <c r="BJ18" s="190">
        <v>1334590.8988662222</v>
      </c>
      <c r="BK18" s="190">
        <v>0</v>
      </c>
      <c r="BL18" s="190">
        <v>1186107.8488662222</v>
      </c>
      <c r="BM18" s="190">
        <v>3672.1605228056414</v>
      </c>
      <c r="BN18" s="190">
        <v>3650.640904234528</v>
      </c>
      <c r="BO18" s="219">
        <v>0.005894750849406163</v>
      </c>
      <c r="BP18" s="220">
        <v>0</v>
      </c>
      <c r="BQ18" s="268">
        <v>0</v>
      </c>
      <c r="BR18" s="266">
        <v>1334590.8988662222</v>
      </c>
      <c r="BS18" s="238">
        <v>-707.37</v>
      </c>
      <c r="BT18" s="254">
        <v>-394.06</v>
      </c>
      <c r="BU18" s="272">
        <v>1333489.468866222</v>
      </c>
      <c r="BV18" s="10"/>
      <c r="BW18" s="228"/>
      <c r="BX18" s="188"/>
      <c r="BY18" s="188"/>
      <c r="BZ18" s="188"/>
      <c r="CA18" s="229">
        <v>65358</v>
      </c>
      <c r="CC18" s="235">
        <v>66000</v>
      </c>
      <c r="CD18" s="224">
        <v>600</v>
      </c>
      <c r="CE18" s="224">
        <v>0</v>
      </c>
      <c r="CF18" s="224">
        <v>19070</v>
      </c>
      <c r="CG18" s="224"/>
      <c r="CH18" s="224">
        <v>7656</v>
      </c>
      <c r="CI18" s="224"/>
      <c r="CJ18" s="229"/>
      <c r="CK18" s="2"/>
    </row>
    <row r="19" spans="1:89" ht="15">
      <c r="A19" s="243">
        <v>2033</v>
      </c>
      <c r="B19" s="196" t="s">
        <v>15</v>
      </c>
      <c r="C19" s="189">
        <v>261</v>
      </c>
      <c r="D19" s="189">
        <v>261</v>
      </c>
      <c r="E19" s="189">
        <v>0</v>
      </c>
      <c r="F19" s="189">
        <v>0</v>
      </c>
      <c r="G19" s="189">
        <v>0</v>
      </c>
      <c r="H19" s="189">
        <v>37.854961832061065</v>
      </c>
      <c r="I19" s="189">
        <v>0</v>
      </c>
      <c r="J19" s="189">
        <v>16.00000000000001</v>
      </c>
      <c r="K19" s="189">
        <v>5.00000000000001</v>
      </c>
      <c r="L19" s="189">
        <v>2.999999999999995</v>
      </c>
      <c r="M19" s="189">
        <v>0</v>
      </c>
      <c r="N19" s="189">
        <v>0</v>
      </c>
      <c r="O19" s="189">
        <v>0</v>
      </c>
      <c r="P19" s="189">
        <v>0</v>
      </c>
      <c r="Q19" s="189">
        <v>0</v>
      </c>
      <c r="R19" s="189">
        <v>0</v>
      </c>
      <c r="S19" s="189">
        <v>0</v>
      </c>
      <c r="T19" s="189">
        <v>0</v>
      </c>
      <c r="U19" s="189">
        <v>0</v>
      </c>
      <c r="V19" s="189">
        <v>41.21052631578941</v>
      </c>
      <c r="W19" s="189">
        <v>0</v>
      </c>
      <c r="X19" s="189">
        <v>88.02958579881664</v>
      </c>
      <c r="Y19" s="189">
        <v>0</v>
      </c>
      <c r="Z19" s="189">
        <v>0</v>
      </c>
      <c r="AA19" s="244">
        <v>0</v>
      </c>
      <c r="AB19" s="253">
        <v>831589.5294929766</v>
      </c>
      <c r="AC19" s="190">
        <v>0</v>
      </c>
      <c r="AD19" s="190">
        <v>0</v>
      </c>
      <c r="AE19" s="190">
        <v>38328.52740458015</v>
      </c>
      <c r="AF19" s="190">
        <v>0</v>
      </c>
      <c r="AG19" s="190">
        <v>1036.9600000000007</v>
      </c>
      <c r="AH19" s="190">
        <v>648.1000000000013</v>
      </c>
      <c r="AI19" s="190">
        <v>583.289999999999</v>
      </c>
      <c r="AJ19" s="190">
        <v>0</v>
      </c>
      <c r="AK19" s="190">
        <v>0</v>
      </c>
      <c r="AL19" s="190">
        <v>0</v>
      </c>
      <c r="AM19" s="190">
        <v>0</v>
      </c>
      <c r="AN19" s="190">
        <v>0</v>
      </c>
      <c r="AO19" s="190">
        <v>0</v>
      </c>
      <c r="AP19" s="190">
        <v>0</v>
      </c>
      <c r="AQ19" s="190">
        <v>0</v>
      </c>
      <c r="AR19" s="190">
        <v>0</v>
      </c>
      <c r="AS19" s="189">
        <v>30457.875789473637</v>
      </c>
      <c r="AT19" s="189">
        <v>0</v>
      </c>
      <c r="AU19" s="190">
        <v>51937.455621301815</v>
      </c>
      <c r="AV19" s="190">
        <v>0</v>
      </c>
      <c r="AW19" s="190">
        <v>0</v>
      </c>
      <c r="AX19" s="190">
        <v>0</v>
      </c>
      <c r="AY19" s="190">
        <v>140000</v>
      </c>
      <c r="AZ19" s="191">
        <v>19250</v>
      </c>
      <c r="BA19" s="191">
        <v>-10766.95</v>
      </c>
      <c r="BB19" s="190">
        <v>0</v>
      </c>
      <c r="BC19" s="190">
        <v>0</v>
      </c>
      <c r="BD19" s="268">
        <v>0</v>
      </c>
      <c r="BE19" s="253">
        <v>831589.5294929766</v>
      </c>
      <c r="BF19" s="190">
        <v>122992.20881535561</v>
      </c>
      <c r="BG19" s="190">
        <v>148483.05</v>
      </c>
      <c r="BH19" s="190">
        <v>51937.455621301815</v>
      </c>
      <c r="BI19" s="218">
        <f t="shared" si="0"/>
        <v>1103064.7883083322</v>
      </c>
      <c r="BJ19" s="190">
        <v>1103064.7883083322</v>
      </c>
      <c r="BK19" s="190">
        <v>0</v>
      </c>
      <c r="BL19" s="190">
        <v>954581.7383083322</v>
      </c>
      <c r="BM19" s="190">
        <v>3657.4012962005063</v>
      </c>
      <c r="BN19" s="190">
        <v>3594.5241015151514</v>
      </c>
      <c r="BO19" s="219">
        <v>0.01749249494775987</v>
      </c>
      <c r="BP19" s="220">
        <v>0</v>
      </c>
      <c r="BQ19" s="268">
        <v>0</v>
      </c>
      <c r="BR19" s="266">
        <v>1103064.7883083322</v>
      </c>
      <c r="BS19" s="238">
        <v>-571.59</v>
      </c>
      <c r="BT19" s="254">
        <v>-318.42</v>
      </c>
      <c r="BU19" s="272">
        <v>1102174.7783083322</v>
      </c>
      <c r="BV19" s="10"/>
      <c r="BW19" s="228">
        <v>198660.2641796443</v>
      </c>
      <c r="BX19" s="188">
        <v>43839.08268772638</v>
      </c>
      <c r="BY19" s="188"/>
      <c r="BZ19" s="188"/>
      <c r="CA19" s="229">
        <v>11042</v>
      </c>
      <c r="CC19" s="235">
        <v>48840</v>
      </c>
      <c r="CD19" s="224">
        <v>0</v>
      </c>
      <c r="CE19" s="224">
        <v>0</v>
      </c>
      <c r="CF19" s="224">
        <v>19290</v>
      </c>
      <c r="CG19" s="224">
        <v>77786</v>
      </c>
      <c r="CH19" s="224">
        <v>7575</v>
      </c>
      <c r="CI19" s="224"/>
      <c r="CJ19" s="229"/>
      <c r="CK19" s="2"/>
    </row>
    <row r="20" spans="1:89" ht="15">
      <c r="A20" s="243">
        <v>2036</v>
      </c>
      <c r="B20" s="187" t="s">
        <v>92</v>
      </c>
      <c r="C20" s="189">
        <v>441</v>
      </c>
      <c r="D20" s="189">
        <v>441</v>
      </c>
      <c r="E20" s="189">
        <v>0</v>
      </c>
      <c r="F20" s="189">
        <v>0</v>
      </c>
      <c r="G20" s="189">
        <v>0</v>
      </c>
      <c r="H20" s="189">
        <v>160</v>
      </c>
      <c r="I20" s="189">
        <v>0</v>
      </c>
      <c r="J20" s="189">
        <v>137.99999999999991</v>
      </c>
      <c r="K20" s="189">
        <v>48.99999999999995</v>
      </c>
      <c r="L20" s="189">
        <v>231.00000000000006</v>
      </c>
      <c r="M20" s="189">
        <v>4.999999999999989</v>
      </c>
      <c r="N20" s="189">
        <v>2.0000000000000004</v>
      </c>
      <c r="O20" s="189">
        <v>0</v>
      </c>
      <c r="P20" s="189">
        <v>0</v>
      </c>
      <c r="Q20" s="189">
        <v>0</v>
      </c>
      <c r="R20" s="189">
        <v>0</v>
      </c>
      <c r="S20" s="189">
        <v>0</v>
      </c>
      <c r="T20" s="189">
        <v>0</v>
      </c>
      <c r="U20" s="189">
        <v>0</v>
      </c>
      <c r="V20" s="189">
        <v>133.30227272727262</v>
      </c>
      <c r="W20" s="189">
        <v>0</v>
      </c>
      <c r="X20" s="189">
        <v>265.0819672131146</v>
      </c>
      <c r="Y20" s="189">
        <v>0</v>
      </c>
      <c r="Z20" s="189">
        <v>0</v>
      </c>
      <c r="AA20" s="244">
        <v>0</v>
      </c>
      <c r="AB20" s="253">
        <v>1405099.5498329604</v>
      </c>
      <c r="AC20" s="190">
        <v>0</v>
      </c>
      <c r="AD20" s="190">
        <v>0</v>
      </c>
      <c r="AE20" s="190">
        <v>162001.6</v>
      </c>
      <c r="AF20" s="190">
        <v>0</v>
      </c>
      <c r="AG20" s="190">
        <v>8943.779999999995</v>
      </c>
      <c r="AH20" s="190">
        <v>6351.379999999994</v>
      </c>
      <c r="AI20" s="190">
        <v>44913.33000000001</v>
      </c>
      <c r="AJ20" s="190">
        <v>1296.1967594999971</v>
      </c>
      <c r="AK20" s="190">
        <v>648.09837975</v>
      </c>
      <c r="AL20" s="190">
        <v>0</v>
      </c>
      <c r="AM20" s="190">
        <v>0</v>
      </c>
      <c r="AN20" s="190">
        <v>0</v>
      </c>
      <c r="AO20" s="190">
        <v>0</v>
      </c>
      <c r="AP20" s="190">
        <v>0</v>
      </c>
      <c r="AQ20" s="190">
        <v>0</v>
      </c>
      <c r="AR20" s="190">
        <v>0</v>
      </c>
      <c r="AS20" s="189">
        <v>98521.04372727266</v>
      </c>
      <c r="AT20" s="189">
        <v>0</v>
      </c>
      <c r="AU20" s="190">
        <v>156398.3606557376</v>
      </c>
      <c r="AV20" s="190">
        <v>0</v>
      </c>
      <c r="AW20" s="190">
        <v>0</v>
      </c>
      <c r="AX20" s="190">
        <v>0</v>
      </c>
      <c r="AY20" s="190">
        <v>140000</v>
      </c>
      <c r="AZ20" s="191">
        <v>30000</v>
      </c>
      <c r="BA20" s="191">
        <v>780</v>
      </c>
      <c r="BB20" s="190">
        <v>0</v>
      </c>
      <c r="BC20" s="190">
        <v>0</v>
      </c>
      <c r="BD20" s="268">
        <v>0</v>
      </c>
      <c r="BE20" s="253">
        <v>1405099.5498329604</v>
      </c>
      <c r="BF20" s="190">
        <v>479073.7895222603</v>
      </c>
      <c r="BG20" s="190">
        <v>170780</v>
      </c>
      <c r="BH20" s="190">
        <v>156398.3606557376</v>
      </c>
      <c r="BI20" s="218">
        <f t="shared" si="0"/>
        <v>2054953.3393552206</v>
      </c>
      <c r="BJ20" s="190">
        <v>2054953.3393552208</v>
      </c>
      <c r="BK20" s="190">
        <v>0</v>
      </c>
      <c r="BL20" s="190">
        <v>1884173.3393552206</v>
      </c>
      <c r="BM20" s="190">
        <v>4272.50190329982</v>
      </c>
      <c r="BN20" s="190">
        <v>4239.862936383929</v>
      </c>
      <c r="BO20" s="219">
        <v>0.007698118407508628</v>
      </c>
      <c r="BP20" s="220">
        <v>0</v>
      </c>
      <c r="BQ20" s="268">
        <v>0</v>
      </c>
      <c r="BR20" s="266">
        <v>2054953.3393552206</v>
      </c>
      <c r="BS20" s="238">
        <v>-965.79</v>
      </c>
      <c r="BT20" s="254">
        <v>-538.02</v>
      </c>
      <c r="BU20" s="272">
        <v>2053449.5293552205</v>
      </c>
      <c r="BV20" s="10"/>
      <c r="BW20" s="228"/>
      <c r="BX20" s="188"/>
      <c r="BY20" s="188"/>
      <c r="BZ20" s="188"/>
      <c r="CA20" s="229">
        <v>59658</v>
      </c>
      <c r="CC20" s="235">
        <v>208560</v>
      </c>
      <c r="CD20" s="224">
        <v>0</v>
      </c>
      <c r="CE20" s="224">
        <v>0</v>
      </c>
      <c r="CF20" s="224">
        <v>20480</v>
      </c>
      <c r="CG20" s="224"/>
      <c r="CH20" s="224">
        <v>9265</v>
      </c>
      <c r="CI20" s="224"/>
      <c r="CJ20" s="229"/>
      <c r="CK20" s="2"/>
    </row>
    <row r="21" spans="1:89" ht="15">
      <c r="A21" s="243">
        <v>2037</v>
      </c>
      <c r="B21" s="187" t="s">
        <v>93</v>
      </c>
      <c r="C21" s="189">
        <v>344</v>
      </c>
      <c r="D21" s="189">
        <v>344</v>
      </c>
      <c r="E21" s="189">
        <v>0</v>
      </c>
      <c r="F21" s="189">
        <v>0</v>
      </c>
      <c r="G21" s="189">
        <v>0</v>
      </c>
      <c r="H21" s="189">
        <v>64.69253731343284</v>
      </c>
      <c r="I21" s="189">
        <v>0</v>
      </c>
      <c r="J21" s="189">
        <v>105.00000000000003</v>
      </c>
      <c r="K21" s="189">
        <v>32.999999999999986</v>
      </c>
      <c r="L21" s="189">
        <v>182.00000000000017</v>
      </c>
      <c r="M21" s="189">
        <v>1.9999999999999991</v>
      </c>
      <c r="N21" s="189">
        <v>4.000000000000004</v>
      </c>
      <c r="O21" s="189">
        <v>0</v>
      </c>
      <c r="P21" s="189">
        <v>0</v>
      </c>
      <c r="Q21" s="189">
        <v>0</v>
      </c>
      <c r="R21" s="189">
        <v>0</v>
      </c>
      <c r="S21" s="189">
        <v>0</v>
      </c>
      <c r="T21" s="189">
        <v>0</v>
      </c>
      <c r="U21" s="189">
        <v>0</v>
      </c>
      <c r="V21" s="189">
        <v>295.7192982456142</v>
      </c>
      <c r="W21" s="189">
        <v>0</v>
      </c>
      <c r="X21" s="189">
        <v>93.23364485981323</v>
      </c>
      <c r="Y21" s="189">
        <v>0</v>
      </c>
      <c r="Z21" s="189">
        <v>0</v>
      </c>
      <c r="AA21" s="244">
        <v>0</v>
      </c>
      <c r="AB21" s="253">
        <v>1096041.3722053026</v>
      </c>
      <c r="AC21" s="190">
        <v>0</v>
      </c>
      <c r="AD21" s="190">
        <v>0</v>
      </c>
      <c r="AE21" s="190">
        <v>65501.84095522388</v>
      </c>
      <c r="AF21" s="190">
        <v>0</v>
      </c>
      <c r="AG21" s="190">
        <v>6805.050000000002</v>
      </c>
      <c r="AH21" s="190">
        <v>4277.459999999998</v>
      </c>
      <c r="AI21" s="190">
        <v>35386.26000000003</v>
      </c>
      <c r="AJ21" s="190">
        <v>518.4787037999997</v>
      </c>
      <c r="AK21" s="190">
        <v>1296.1967595000012</v>
      </c>
      <c r="AL21" s="190">
        <v>0</v>
      </c>
      <c r="AM21" s="190">
        <v>0</v>
      </c>
      <c r="AN21" s="190">
        <v>0</v>
      </c>
      <c r="AO21" s="190">
        <v>0</v>
      </c>
      <c r="AP21" s="190">
        <v>0</v>
      </c>
      <c r="AQ21" s="190">
        <v>0</v>
      </c>
      <c r="AR21" s="190">
        <v>0</v>
      </c>
      <c r="AS21" s="189">
        <v>218560.21894736856</v>
      </c>
      <c r="AT21" s="189">
        <v>0</v>
      </c>
      <c r="AU21" s="190">
        <v>55007.850467289805</v>
      </c>
      <c r="AV21" s="190">
        <v>0</v>
      </c>
      <c r="AW21" s="190">
        <v>0</v>
      </c>
      <c r="AX21" s="190">
        <v>0</v>
      </c>
      <c r="AY21" s="190">
        <v>140000</v>
      </c>
      <c r="AZ21" s="191">
        <v>30000</v>
      </c>
      <c r="BA21" s="191">
        <v>780</v>
      </c>
      <c r="BB21" s="190">
        <v>0</v>
      </c>
      <c r="BC21" s="190">
        <v>0</v>
      </c>
      <c r="BD21" s="268">
        <v>0</v>
      </c>
      <c r="BE21" s="253">
        <v>1096041.3722053026</v>
      </c>
      <c r="BF21" s="190">
        <v>387353.3558331823</v>
      </c>
      <c r="BG21" s="190">
        <v>170780</v>
      </c>
      <c r="BH21" s="190">
        <v>55007.850467289805</v>
      </c>
      <c r="BI21" s="218">
        <f t="shared" si="0"/>
        <v>1654174.728038485</v>
      </c>
      <c r="BJ21" s="190">
        <v>1654174.7280384847</v>
      </c>
      <c r="BK21" s="190">
        <v>0</v>
      </c>
      <c r="BL21" s="190">
        <v>1483394.728038485</v>
      </c>
      <c r="BM21" s="190">
        <v>4312.1939768560605</v>
      </c>
      <c r="BN21" s="190">
        <v>4342.468224925816</v>
      </c>
      <c r="BO21" s="219">
        <v>-0.006971668300525658</v>
      </c>
      <c r="BP21" s="220">
        <v>0</v>
      </c>
      <c r="BQ21" s="268">
        <v>0</v>
      </c>
      <c r="BR21" s="266">
        <v>1654174.728038485</v>
      </c>
      <c r="BS21" s="238">
        <v>-753.36</v>
      </c>
      <c r="BT21" s="254">
        <v>-419.68</v>
      </c>
      <c r="BU21" s="272">
        <v>1653001.688038485</v>
      </c>
      <c r="BV21" s="10"/>
      <c r="BW21" s="228">
        <v>329975.6809595786</v>
      </c>
      <c r="BX21" s="188">
        <v>0</v>
      </c>
      <c r="BY21" s="188"/>
      <c r="BZ21" s="188"/>
      <c r="CA21" s="229">
        <v>78084</v>
      </c>
      <c r="CC21" s="235">
        <v>83160</v>
      </c>
      <c r="CD21" s="224">
        <v>0</v>
      </c>
      <c r="CE21" s="224">
        <v>0</v>
      </c>
      <c r="CF21" s="224">
        <v>20330</v>
      </c>
      <c r="CG21" s="224">
        <v>90983.4</v>
      </c>
      <c r="CH21" s="224">
        <v>8577</v>
      </c>
      <c r="CI21" s="224"/>
      <c r="CJ21" s="229"/>
      <c r="CK21" s="2"/>
    </row>
    <row r="22" spans="1:89" ht="15">
      <c r="A22" s="243">
        <v>2038</v>
      </c>
      <c r="B22" s="196" t="s">
        <v>17</v>
      </c>
      <c r="C22" s="189">
        <v>359</v>
      </c>
      <c r="D22" s="189">
        <v>359</v>
      </c>
      <c r="E22" s="189">
        <v>0</v>
      </c>
      <c r="F22" s="189">
        <v>0</v>
      </c>
      <c r="G22" s="189">
        <v>0</v>
      </c>
      <c r="H22" s="189">
        <v>51.85555555555555</v>
      </c>
      <c r="I22" s="189">
        <v>0</v>
      </c>
      <c r="J22" s="189">
        <v>3.0000000000000013</v>
      </c>
      <c r="K22" s="189">
        <v>19.00000000000001</v>
      </c>
      <c r="L22" s="189">
        <v>3.999999999999983</v>
      </c>
      <c r="M22" s="189">
        <v>0</v>
      </c>
      <c r="N22" s="189">
        <v>0</v>
      </c>
      <c r="O22" s="189">
        <v>0</v>
      </c>
      <c r="P22" s="189">
        <v>0</v>
      </c>
      <c r="Q22" s="189">
        <v>0</v>
      </c>
      <c r="R22" s="189">
        <v>0</v>
      </c>
      <c r="S22" s="189">
        <v>0</v>
      </c>
      <c r="T22" s="189">
        <v>0</v>
      </c>
      <c r="U22" s="189">
        <v>0</v>
      </c>
      <c r="V22" s="189">
        <v>22.999999999999993</v>
      </c>
      <c r="W22" s="189">
        <v>0</v>
      </c>
      <c r="X22" s="189">
        <v>113.15186246418334</v>
      </c>
      <c r="Y22" s="189">
        <v>0</v>
      </c>
      <c r="Z22" s="189">
        <v>0</v>
      </c>
      <c r="AA22" s="244">
        <v>0</v>
      </c>
      <c r="AB22" s="253">
        <v>1143833.873900301</v>
      </c>
      <c r="AC22" s="190">
        <v>0</v>
      </c>
      <c r="AD22" s="190">
        <v>0</v>
      </c>
      <c r="AE22" s="190">
        <v>52504.26855555554</v>
      </c>
      <c r="AF22" s="190">
        <v>0</v>
      </c>
      <c r="AG22" s="190">
        <v>194.4300000000001</v>
      </c>
      <c r="AH22" s="190">
        <v>2462.7800000000016</v>
      </c>
      <c r="AI22" s="190">
        <v>777.7199999999967</v>
      </c>
      <c r="AJ22" s="190">
        <v>0</v>
      </c>
      <c r="AK22" s="190">
        <v>0</v>
      </c>
      <c r="AL22" s="190">
        <v>0</v>
      </c>
      <c r="AM22" s="190">
        <v>0</v>
      </c>
      <c r="AN22" s="190">
        <v>0</v>
      </c>
      <c r="AO22" s="190">
        <v>0</v>
      </c>
      <c r="AP22" s="190">
        <v>0</v>
      </c>
      <c r="AQ22" s="190">
        <v>0</v>
      </c>
      <c r="AR22" s="190">
        <v>0</v>
      </c>
      <c r="AS22" s="189">
        <v>16998.839999999997</v>
      </c>
      <c r="AT22" s="189">
        <v>0</v>
      </c>
      <c r="AU22" s="190">
        <v>66759.59885386817</v>
      </c>
      <c r="AV22" s="190">
        <v>0</v>
      </c>
      <c r="AW22" s="190">
        <v>0</v>
      </c>
      <c r="AX22" s="190">
        <v>0</v>
      </c>
      <c r="AY22" s="190">
        <v>140000</v>
      </c>
      <c r="AZ22" s="191">
        <v>27750</v>
      </c>
      <c r="BA22" s="191">
        <v>721.5</v>
      </c>
      <c r="BB22" s="190">
        <v>0</v>
      </c>
      <c r="BC22" s="190">
        <v>0</v>
      </c>
      <c r="BD22" s="268">
        <v>0</v>
      </c>
      <c r="BE22" s="253">
        <v>1143833.873900301</v>
      </c>
      <c r="BF22" s="190">
        <v>139697.6374094237</v>
      </c>
      <c r="BG22" s="190">
        <v>168471.5</v>
      </c>
      <c r="BH22" s="190">
        <v>66759.59885386817</v>
      </c>
      <c r="BI22" s="218">
        <f t="shared" si="0"/>
        <v>1452003.0113097248</v>
      </c>
      <c r="BJ22" s="190">
        <v>1452003.0113097248</v>
      </c>
      <c r="BK22" s="190">
        <v>0</v>
      </c>
      <c r="BL22" s="190">
        <v>1283531.5113097248</v>
      </c>
      <c r="BM22" s="190">
        <v>3575.2966888850274</v>
      </c>
      <c r="BN22" s="190">
        <v>3526.56476398892</v>
      </c>
      <c r="BO22" s="219">
        <v>0.013818525436914583</v>
      </c>
      <c r="BP22" s="220">
        <v>0</v>
      </c>
      <c r="BQ22" s="268">
        <v>0</v>
      </c>
      <c r="BR22" s="266">
        <v>1452003.0113097248</v>
      </c>
      <c r="BS22" s="238">
        <v>-786.21</v>
      </c>
      <c r="BT22" s="254">
        <v>-437.98</v>
      </c>
      <c r="BU22" s="272">
        <v>1450778.8213097248</v>
      </c>
      <c r="BV22" s="10"/>
      <c r="BW22" s="228"/>
      <c r="BX22" s="188"/>
      <c r="BY22" s="188"/>
      <c r="BZ22" s="188"/>
      <c r="CA22" s="229">
        <v>87758</v>
      </c>
      <c r="CC22" s="235">
        <v>68640</v>
      </c>
      <c r="CD22" s="224">
        <v>0</v>
      </c>
      <c r="CE22" s="224">
        <v>2300</v>
      </c>
      <c r="CF22" s="224">
        <v>19610</v>
      </c>
      <c r="CG22" s="224"/>
      <c r="CH22" s="224">
        <v>8050</v>
      </c>
      <c r="CI22" s="224"/>
      <c r="CJ22" s="229"/>
      <c r="CK22" s="2"/>
    </row>
    <row r="23" spans="1:89" ht="15">
      <c r="A23" s="243">
        <v>2039</v>
      </c>
      <c r="B23" s="196" t="s">
        <v>18</v>
      </c>
      <c r="C23" s="189">
        <v>269</v>
      </c>
      <c r="D23" s="189">
        <v>269</v>
      </c>
      <c r="E23" s="189">
        <v>0</v>
      </c>
      <c r="F23" s="189">
        <v>0</v>
      </c>
      <c r="G23" s="189">
        <v>0</v>
      </c>
      <c r="H23" s="189">
        <v>18.92962962962963</v>
      </c>
      <c r="I23" s="189">
        <v>0</v>
      </c>
      <c r="J23" s="189">
        <v>7.000000000000012</v>
      </c>
      <c r="K23" s="189">
        <v>9.000000000000009</v>
      </c>
      <c r="L23" s="189">
        <v>2.000000000000001</v>
      </c>
      <c r="M23" s="189">
        <v>0</v>
      </c>
      <c r="N23" s="189">
        <v>0</v>
      </c>
      <c r="O23" s="189">
        <v>0</v>
      </c>
      <c r="P23" s="189">
        <v>0</v>
      </c>
      <c r="Q23" s="189">
        <v>0</v>
      </c>
      <c r="R23" s="189">
        <v>0</v>
      </c>
      <c r="S23" s="189">
        <v>0</v>
      </c>
      <c r="T23" s="189">
        <v>0</v>
      </c>
      <c r="U23" s="189">
        <v>0</v>
      </c>
      <c r="V23" s="189">
        <v>67.25</v>
      </c>
      <c r="W23" s="189">
        <v>0</v>
      </c>
      <c r="X23" s="189">
        <v>51.09497206703903</v>
      </c>
      <c r="Y23" s="189">
        <v>0</v>
      </c>
      <c r="Z23" s="189">
        <v>0</v>
      </c>
      <c r="AA23" s="244">
        <v>0</v>
      </c>
      <c r="AB23" s="253">
        <v>857078.8637303092</v>
      </c>
      <c r="AC23" s="190">
        <v>0</v>
      </c>
      <c r="AD23" s="190">
        <v>0</v>
      </c>
      <c r="AE23" s="190">
        <v>19166.439296296296</v>
      </c>
      <c r="AF23" s="190">
        <v>0</v>
      </c>
      <c r="AG23" s="190">
        <v>453.6700000000008</v>
      </c>
      <c r="AH23" s="190">
        <v>1166.5800000000013</v>
      </c>
      <c r="AI23" s="190">
        <v>388.8600000000002</v>
      </c>
      <c r="AJ23" s="190">
        <v>0</v>
      </c>
      <c r="AK23" s="190">
        <v>0</v>
      </c>
      <c r="AL23" s="190">
        <v>0</v>
      </c>
      <c r="AM23" s="190">
        <v>0</v>
      </c>
      <c r="AN23" s="190">
        <v>0</v>
      </c>
      <c r="AO23" s="190">
        <v>0</v>
      </c>
      <c r="AP23" s="190">
        <v>0</v>
      </c>
      <c r="AQ23" s="190">
        <v>0</v>
      </c>
      <c r="AR23" s="190">
        <v>0</v>
      </c>
      <c r="AS23" s="189">
        <v>49703.130000000005</v>
      </c>
      <c r="AT23" s="189">
        <v>0</v>
      </c>
      <c r="AU23" s="190">
        <v>30146.033519553028</v>
      </c>
      <c r="AV23" s="190">
        <v>0</v>
      </c>
      <c r="AW23" s="190">
        <v>0</v>
      </c>
      <c r="AX23" s="190">
        <v>0</v>
      </c>
      <c r="AY23" s="190">
        <v>140000</v>
      </c>
      <c r="AZ23" s="191">
        <v>27750</v>
      </c>
      <c r="BA23" s="191">
        <v>721.5</v>
      </c>
      <c r="BB23" s="190">
        <v>0</v>
      </c>
      <c r="BC23" s="190">
        <v>0</v>
      </c>
      <c r="BD23" s="268">
        <v>0</v>
      </c>
      <c r="BE23" s="253">
        <v>857078.8637303092</v>
      </c>
      <c r="BF23" s="190">
        <v>101024.71281584934</v>
      </c>
      <c r="BG23" s="190">
        <v>168471.5</v>
      </c>
      <c r="BH23" s="190">
        <v>30146.033519553028</v>
      </c>
      <c r="BI23" s="218">
        <f t="shared" si="0"/>
        <v>1126575.0765461586</v>
      </c>
      <c r="BJ23" s="190">
        <v>1126575.0765461586</v>
      </c>
      <c r="BK23" s="190">
        <v>0</v>
      </c>
      <c r="BL23" s="190">
        <v>958103.5765461586</v>
      </c>
      <c r="BM23" s="190">
        <v>3561.723332885348</v>
      </c>
      <c r="BN23" s="190">
        <v>3565.3585518518516</v>
      </c>
      <c r="BO23" s="219">
        <v>-0.001019594218543716</v>
      </c>
      <c r="BP23" s="220">
        <v>0</v>
      </c>
      <c r="BQ23" s="268">
        <v>0</v>
      </c>
      <c r="BR23" s="266">
        <v>1126575.0765461586</v>
      </c>
      <c r="BS23" s="238">
        <v>-589.11</v>
      </c>
      <c r="BT23" s="254">
        <v>-328.18</v>
      </c>
      <c r="BU23" s="272">
        <v>1125657.7865461586</v>
      </c>
      <c r="BV23" s="10"/>
      <c r="BW23" s="228">
        <v>168315.0408314346</v>
      </c>
      <c r="BX23" s="188">
        <v>14569.411279258577</v>
      </c>
      <c r="BY23" s="188"/>
      <c r="BZ23" s="188"/>
      <c r="CA23" s="229">
        <v>23584</v>
      </c>
      <c r="CC23" s="235">
        <v>25080</v>
      </c>
      <c r="CD23" s="224">
        <v>300</v>
      </c>
      <c r="CE23" s="224">
        <v>6900</v>
      </c>
      <c r="CF23" s="224">
        <v>19310</v>
      </c>
      <c r="CG23" s="224">
        <v>104442.99999999999</v>
      </c>
      <c r="CH23" s="224">
        <v>7510</v>
      </c>
      <c r="CI23" s="224"/>
      <c r="CJ23" s="229"/>
      <c r="CK23" s="2"/>
    </row>
    <row r="24" spans="1:89" ht="15">
      <c r="A24" s="243">
        <v>2052</v>
      </c>
      <c r="B24" s="187" t="s">
        <v>20</v>
      </c>
      <c r="C24" s="189">
        <v>405</v>
      </c>
      <c r="D24" s="189">
        <v>405</v>
      </c>
      <c r="E24" s="189">
        <v>0</v>
      </c>
      <c r="F24" s="189">
        <v>0</v>
      </c>
      <c r="G24" s="189">
        <v>0</v>
      </c>
      <c r="H24" s="189">
        <v>129.64019851116626</v>
      </c>
      <c r="I24" s="189">
        <v>0</v>
      </c>
      <c r="J24" s="189">
        <v>66.00000000000001</v>
      </c>
      <c r="K24" s="189">
        <v>163.9999999999999</v>
      </c>
      <c r="L24" s="189">
        <v>51.00000000000003</v>
      </c>
      <c r="M24" s="189">
        <v>11.000000000000004</v>
      </c>
      <c r="N24" s="189">
        <v>1.9999999999999993</v>
      </c>
      <c r="O24" s="189">
        <v>0</v>
      </c>
      <c r="P24" s="189">
        <v>0</v>
      </c>
      <c r="Q24" s="189">
        <v>0</v>
      </c>
      <c r="R24" s="189">
        <v>0</v>
      </c>
      <c r="S24" s="189">
        <v>0</v>
      </c>
      <c r="T24" s="189">
        <v>0</v>
      </c>
      <c r="U24" s="189">
        <v>0</v>
      </c>
      <c r="V24" s="189">
        <v>81.20049504950516</v>
      </c>
      <c r="W24" s="189">
        <v>0</v>
      </c>
      <c r="X24" s="189">
        <v>209.4827586206897</v>
      </c>
      <c r="Y24" s="189">
        <v>0</v>
      </c>
      <c r="Z24" s="189">
        <v>4.49999999999995</v>
      </c>
      <c r="AA24" s="244">
        <v>0</v>
      </c>
      <c r="AB24" s="253">
        <v>1290397.5457649636</v>
      </c>
      <c r="AC24" s="190">
        <v>0</v>
      </c>
      <c r="AD24" s="190">
        <v>0</v>
      </c>
      <c r="AE24" s="190">
        <v>131261.99739454096</v>
      </c>
      <c r="AF24" s="190">
        <v>0</v>
      </c>
      <c r="AG24" s="190">
        <v>4277.460000000001</v>
      </c>
      <c r="AH24" s="190">
        <v>21257.679999999986</v>
      </c>
      <c r="AI24" s="190">
        <v>9915.930000000006</v>
      </c>
      <c r="AJ24" s="190">
        <v>2851.632870900001</v>
      </c>
      <c r="AK24" s="190">
        <v>648.0983797499997</v>
      </c>
      <c r="AL24" s="190">
        <v>0</v>
      </c>
      <c r="AM24" s="190">
        <v>0</v>
      </c>
      <c r="AN24" s="190">
        <v>0</v>
      </c>
      <c r="AO24" s="190">
        <v>0</v>
      </c>
      <c r="AP24" s="190">
        <v>0</v>
      </c>
      <c r="AQ24" s="190">
        <v>0</v>
      </c>
      <c r="AR24" s="190">
        <v>0</v>
      </c>
      <c r="AS24" s="189">
        <v>60013.66188118828</v>
      </c>
      <c r="AT24" s="189">
        <v>0</v>
      </c>
      <c r="AU24" s="190">
        <v>123594.82758620693</v>
      </c>
      <c r="AV24" s="190">
        <v>0</v>
      </c>
      <c r="AW24" s="190">
        <v>3599.99999999996</v>
      </c>
      <c r="AX24" s="190">
        <v>0</v>
      </c>
      <c r="AY24" s="190">
        <v>140000</v>
      </c>
      <c r="AZ24" s="191">
        <v>41250</v>
      </c>
      <c r="BA24" s="191">
        <v>1072.5</v>
      </c>
      <c r="BB24" s="190">
        <v>0</v>
      </c>
      <c r="BC24" s="190">
        <v>0</v>
      </c>
      <c r="BD24" s="268">
        <v>0</v>
      </c>
      <c r="BE24" s="253">
        <v>1290397.5457649636</v>
      </c>
      <c r="BF24" s="190">
        <v>357421.2881125861</v>
      </c>
      <c r="BG24" s="190">
        <v>182322.5</v>
      </c>
      <c r="BH24" s="190">
        <v>123594.82758620693</v>
      </c>
      <c r="BI24" s="218">
        <f t="shared" si="0"/>
        <v>1830141.3338775497</v>
      </c>
      <c r="BJ24" s="190">
        <v>1830141.3338775497</v>
      </c>
      <c r="BK24" s="190">
        <v>0</v>
      </c>
      <c r="BL24" s="190">
        <v>1647818.8338775497</v>
      </c>
      <c r="BM24" s="190">
        <v>4068.6884787099993</v>
      </c>
      <c r="BN24" s="190">
        <v>4061.5362555555557</v>
      </c>
      <c r="BO24" s="219">
        <v>0.0017609649906880627</v>
      </c>
      <c r="BP24" s="220">
        <v>0</v>
      </c>
      <c r="BQ24" s="268">
        <v>0</v>
      </c>
      <c r="BR24" s="266">
        <v>1830141.3338775497</v>
      </c>
      <c r="BS24" s="238">
        <v>-886.9499999999999</v>
      </c>
      <c r="BT24" s="254">
        <v>-494.09999999999997</v>
      </c>
      <c r="BU24" s="272">
        <v>1828760.2838775497</v>
      </c>
      <c r="BV24" s="10"/>
      <c r="BW24" s="228"/>
      <c r="BX24" s="188"/>
      <c r="BY24" s="188"/>
      <c r="BZ24" s="188"/>
      <c r="CA24" s="229">
        <v>40934</v>
      </c>
      <c r="CC24" s="235">
        <v>168960</v>
      </c>
      <c r="CD24" s="224">
        <v>1800</v>
      </c>
      <c r="CE24" s="224">
        <v>0</v>
      </c>
      <c r="CF24" s="224">
        <v>20050</v>
      </c>
      <c r="CG24" s="224"/>
      <c r="CH24" s="224">
        <v>8658</v>
      </c>
      <c r="CI24" s="224"/>
      <c r="CJ24" s="229"/>
      <c r="CK24" s="2"/>
    </row>
    <row r="25" spans="1:89" ht="15">
      <c r="A25" s="243">
        <v>2054</v>
      </c>
      <c r="B25" s="196" t="s">
        <v>21</v>
      </c>
      <c r="C25" s="189">
        <v>356</v>
      </c>
      <c r="D25" s="189">
        <v>356</v>
      </c>
      <c r="E25" s="189">
        <v>0</v>
      </c>
      <c r="F25" s="189">
        <v>0</v>
      </c>
      <c r="G25" s="189">
        <v>0</v>
      </c>
      <c r="H25" s="189">
        <v>29.24645892351275</v>
      </c>
      <c r="I25" s="189">
        <v>0</v>
      </c>
      <c r="J25" s="189">
        <v>72.00000000000001</v>
      </c>
      <c r="K25" s="189">
        <v>9.999999999999986</v>
      </c>
      <c r="L25" s="189">
        <v>2.000000000000001</v>
      </c>
      <c r="M25" s="189">
        <v>0</v>
      </c>
      <c r="N25" s="189">
        <v>0.9999999999999986</v>
      </c>
      <c r="O25" s="189">
        <v>0</v>
      </c>
      <c r="P25" s="189">
        <v>0</v>
      </c>
      <c r="Q25" s="189">
        <v>0</v>
      </c>
      <c r="R25" s="189">
        <v>0</v>
      </c>
      <c r="S25" s="189">
        <v>0</v>
      </c>
      <c r="T25" s="189">
        <v>0</v>
      </c>
      <c r="U25" s="189">
        <v>0</v>
      </c>
      <c r="V25" s="189">
        <v>31.08732394366196</v>
      </c>
      <c r="W25" s="189">
        <v>0</v>
      </c>
      <c r="X25" s="189">
        <v>77.97118155619603</v>
      </c>
      <c r="Y25" s="189">
        <v>0</v>
      </c>
      <c r="Z25" s="189">
        <v>0</v>
      </c>
      <c r="AA25" s="244">
        <v>0</v>
      </c>
      <c r="AB25" s="253">
        <v>1134275.3735613015</v>
      </c>
      <c r="AC25" s="190">
        <v>0</v>
      </c>
      <c r="AD25" s="190">
        <v>0</v>
      </c>
      <c r="AE25" s="190">
        <v>29612.332124645895</v>
      </c>
      <c r="AF25" s="190">
        <v>0</v>
      </c>
      <c r="AG25" s="190">
        <v>4666.3200000000015</v>
      </c>
      <c r="AH25" s="190">
        <v>1296.1999999999982</v>
      </c>
      <c r="AI25" s="190">
        <v>388.8600000000002</v>
      </c>
      <c r="AJ25" s="190">
        <v>0</v>
      </c>
      <c r="AK25" s="190">
        <v>324.0491898749995</v>
      </c>
      <c r="AL25" s="190">
        <v>0</v>
      </c>
      <c r="AM25" s="190">
        <v>0</v>
      </c>
      <c r="AN25" s="190">
        <v>0</v>
      </c>
      <c r="AO25" s="190">
        <v>0</v>
      </c>
      <c r="AP25" s="190">
        <v>0</v>
      </c>
      <c r="AQ25" s="190">
        <v>0</v>
      </c>
      <c r="AR25" s="190">
        <v>0</v>
      </c>
      <c r="AS25" s="189">
        <v>22976.019380281683</v>
      </c>
      <c r="AT25" s="189">
        <v>0</v>
      </c>
      <c r="AU25" s="190">
        <v>46002.997118155654</v>
      </c>
      <c r="AV25" s="190">
        <v>0</v>
      </c>
      <c r="AW25" s="190">
        <v>0</v>
      </c>
      <c r="AX25" s="190">
        <v>0</v>
      </c>
      <c r="AY25" s="190">
        <v>140000</v>
      </c>
      <c r="AZ25" s="191">
        <v>29500</v>
      </c>
      <c r="BA25" s="191">
        <v>767</v>
      </c>
      <c r="BB25" s="190">
        <v>0</v>
      </c>
      <c r="BC25" s="190">
        <v>0</v>
      </c>
      <c r="BD25" s="268">
        <v>0</v>
      </c>
      <c r="BE25" s="253">
        <v>1134275.3735613015</v>
      </c>
      <c r="BF25" s="190">
        <v>105266.77781295823</v>
      </c>
      <c r="BG25" s="190">
        <v>170267</v>
      </c>
      <c r="BH25" s="190">
        <v>46002.997118155654</v>
      </c>
      <c r="BI25" s="218">
        <f t="shared" si="0"/>
        <v>1409809.1513742597</v>
      </c>
      <c r="BJ25" s="190">
        <v>1409809.1513742597</v>
      </c>
      <c r="BK25" s="190">
        <v>0</v>
      </c>
      <c r="BL25" s="190">
        <v>1239542.1513742597</v>
      </c>
      <c r="BM25" s="190">
        <v>3481.8599757703923</v>
      </c>
      <c r="BN25" s="190">
        <v>3444.3688205714284</v>
      </c>
      <c r="BO25" s="219">
        <v>0.01088476790727193</v>
      </c>
      <c r="BP25" s="220">
        <v>0</v>
      </c>
      <c r="BQ25" s="268">
        <v>0</v>
      </c>
      <c r="BR25" s="266">
        <v>1409809.1513742597</v>
      </c>
      <c r="BS25" s="238">
        <v>-779.64</v>
      </c>
      <c r="BT25" s="254">
        <v>-434.32</v>
      </c>
      <c r="BU25" s="272">
        <v>1408595.1913742598</v>
      </c>
      <c r="BV25" s="10"/>
      <c r="BW25" s="228"/>
      <c r="BX25" s="188"/>
      <c r="BY25" s="188"/>
      <c r="BZ25" s="188"/>
      <c r="CA25" s="229">
        <v>51100</v>
      </c>
      <c r="CC25" s="235">
        <v>38280</v>
      </c>
      <c r="CD25" s="224">
        <v>600</v>
      </c>
      <c r="CE25" s="224">
        <v>11500</v>
      </c>
      <c r="CF25" s="224">
        <v>19500</v>
      </c>
      <c r="CG25" s="224"/>
      <c r="CH25" s="224">
        <v>7971</v>
      </c>
      <c r="CI25" s="224"/>
      <c r="CJ25" s="229"/>
      <c r="CK25" s="2"/>
    </row>
    <row r="26" spans="1:89" ht="15">
      <c r="A26" s="243">
        <v>2059</v>
      </c>
      <c r="B26" s="187" t="s">
        <v>22</v>
      </c>
      <c r="C26" s="189">
        <v>483</v>
      </c>
      <c r="D26" s="189">
        <v>483</v>
      </c>
      <c r="E26" s="189">
        <v>0</v>
      </c>
      <c r="F26" s="189">
        <v>0</v>
      </c>
      <c r="G26" s="189">
        <v>0</v>
      </c>
      <c r="H26" s="189">
        <v>168.39457202505218</v>
      </c>
      <c r="I26" s="189">
        <v>0</v>
      </c>
      <c r="J26" s="189">
        <v>74.30769230769238</v>
      </c>
      <c r="K26" s="189">
        <v>185.76923076923097</v>
      </c>
      <c r="L26" s="189">
        <v>29.120582120582124</v>
      </c>
      <c r="M26" s="189">
        <v>27.1122661122661</v>
      </c>
      <c r="N26" s="189">
        <v>44.18295218295219</v>
      </c>
      <c r="O26" s="189">
        <v>0</v>
      </c>
      <c r="P26" s="189">
        <v>0</v>
      </c>
      <c r="Q26" s="189">
        <v>0</v>
      </c>
      <c r="R26" s="189">
        <v>0</v>
      </c>
      <c r="S26" s="189">
        <v>0</v>
      </c>
      <c r="T26" s="189">
        <v>0</v>
      </c>
      <c r="U26" s="189">
        <v>0</v>
      </c>
      <c r="V26" s="189">
        <v>150.99999999999986</v>
      </c>
      <c r="W26" s="189">
        <v>0</v>
      </c>
      <c r="X26" s="189">
        <v>184.88038277511967</v>
      </c>
      <c r="Y26" s="189">
        <v>0</v>
      </c>
      <c r="Z26" s="189">
        <v>0</v>
      </c>
      <c r="AA26" s="244">
        <v>0</v>
      </c>
      <c r="AB26" s="253">
        <v>1538918.5545789567</v>
      </c>
      <c r="AC26" s="190">
        <v>0</v>
      </c>
      <c r="AD26" s="190">
        <v>0</v>
      </c>
      <c r="AE26" s="190">
        <v>170501.18812108558</v>
      </c>
      <c r="AF26" s="190">
        <v>0</v>
      </c>
      <c r="AG26" s="190">
        <v>4815.881538461543</v>
      </c>
      <c r="AH26" s="190">
        <v>24079.40769230772</v>
      </c>
      <c r="AI26" s="190">
        <v>5661.914781704782</v>
      </c>
      <c r="AJ26" s="190">
        <v>7028.5662954841955</v>
      </c>
      <c r="AK26" s="190">
        <v>14317.449861171519</v>
      </c>
      <c r="AL26" s="190">
        <v>0</v>
      </c>
      <c r="AM26" s="190">
        <v>0</v>
      </c>
      <c r="AN26" s="190">
        <v>0</v>
      </c>
      <c r="AO26" s="190">
        <v>0</v>
      </c>
      <c r="AP26" s="190">
        <v>0</v>
      </c>
      <c r="AQ26" s="190">
        <v>0</v>
      </c>
      <c r="AR26" s="190">
        <v>0</v>
      </c>
      <c r="AS26" s="189">
        <v>111601.0799999999</v>
      </c>
      <c r="AT26" s="189">
        <v>0</v>
      </c>
      <c r="AU26" s="190">
        <v>109079.42583732061</v>
      </c>
      <c r="AV26" s="190">
        <v>0</v>
      </c>
      <c r="AW26" s="190">
        <v>0</v>
      </c>
      <c r="AX26" s="190">
        <v>0</v>
      </c>
      <c r="AY26" s="190">
        <v>140000</v>
      </c>
      <c r="AZ26" s="191">
        <v>32500</v>
      </c>
      <c r="BA26" s="191">
        <v>845</v>
      </c>
      <c r="BB26" s="190">
        <v>0</v>
      </c>
      <c r="BC26" s="190">
        <v>0</v>
      </c>
      <c r="BD26" s="268">
        <v>0</v>
      </c>
      <c r="BE26" s="253">
        <v>1538918.5545789567</v>
      </c>
      <c r="BF26" s="190">
        <v>447084.9141275359</v>
      </c>
      <c r="BG26" s="190">
        <v>173345</v>
      </c>
      <c r="BH26" s="190">
        <v>109079.42583732061</v>
      </c>
      <c r="BI26" s="218">
        <f t="shared" si="0"/>
        <v>2159348.4687064923</v>
      </c>
      <c r="BJ26" s="190">
        <v>2159348.468706492</v>
      </c>
      <c r="BK26" s="190">
        <v>0</v>
      </c>
      <c r="BL26" s="190">
        <v>1986003.4687064923</v>
      </c>
      <c r="BM26" s="190">
        <v>4111.808423822966</v>
      </c>
      <c r="BN26" s="190">
        <v>4111.609141407867</v>
      </c>
      <c r="BO26" s="219">
        <v>4.846822940718206E-05</v>
      </c>
      <c r="BP26" s="220">
        <v>0</v>
      </c>
      <c r="BQ26" s="268">
        <v>0</v>
      </c>
      <c r="BR26" s="266">
        <v>2159348.4687064923</v>
      </c>
      <c r="BS26" s="238">
        <v>-1057.77</v>
      </c>
      <c r="BT26" s="254">
        <v>-589.26</v>
      </c>
      <c r="BU26" s="272">
        <v>2157701.4387064925</v>
      </c>
      <c r="BV26" s="10"/>
      <c r="BW26" s="228"/>
      <c r="BX26" s="188"/>
      <c r="BY26" s="188"/>
      <c r="BZ26" s="188"/>
      <c r="CA26" s="229">
        <v>50384</v>
      </c>
      <c r="CC26" s="235">
        <v>220440</v>
      </c>
      <c r="CD26" s="224">
        <v>0</v>
      </c>
      <c r="CE26" s="224">
        <v>0</v>
      </c>
      <c r="CF26" s="224">
        <v>20830</v>
      </c>
      <c r="CG26" s="224"/>
      <c r="CH26" s="224">
        <v>9693</v>
      </c>
      <c r="CI26" s="224"/>
      <c r="CJ26" s="229"/>
      <c r="CK26" s="2"/>
    </row>
    <row r="27" spans="1:89" ht="15">
      <c r="A27" s="243">
        <v>2060</v>
      </c>
      <c r="B27" s="187" t="s">
        <v>94</v>
      </c>
      <c r="C27" s="189">
        <v>358</v>
      </c>
      <c r="D27" s="189">
        <v>358</v>
      </c>
      <c r="E27" s="189">
        <v>0</v>
      </c>
      <c r="F27" s="189">
        <v>0</v>
      </c>
      <c r="G27" s="189">
        <v>0</v>
      </c>
      <c r="H27" s="189">
        <v>47.733333333333334</v>
      </c>
      <c r="I27" s="189">
        <v>0</v>
      </c>
      <c r="J27" s="189">
        <v>46.000000000000064</v>
      </c>
      <c r="K27" s="189">
        <v>128.99999999999991</v>
      </c>
      <c r="L27" s="189">
        <v>9.000000000000009</v>
      </c>
      <c r="M27" s="189">
        <v>25.000000000000007</v>
      </c>
      <c r="N27" s="189">
        <v>21.00000000000001</v>
      </c>
      <c r="O27" s="189">
        <v>0</v>
      </c>
      <c r="P27" s="189">
        <v>0</v>
      </c>
      <c r="Q27" s="189">
        <v>0</v>
      </c>
      <c r="R27" s="189">
        <v>0</v>
      </c>
      <c r="S27" s="189">
        <v>0</v>
      </c>
      <c r="T27" s="189">
        <v>0</v>
      </c>
      <c r="U27" s="189">
        <v>0</v>
      </c>
      <c r="V27" s="189">
        <v>330.9243697478993</v>
      </c>
      <c r="W27" s="189">
        <v>0</v>
      </c>
      <c r="X27" s="189">
        <v>108.19555555555547</v>
      </c>
      <c r="Y27" s="189">
        <v>0</v>
      </c>
      <c r="Z27" s="189">
        <v>0</v>
      </c>
      <c r="AA27" s="244">
        <v>0</v>
      </c>
      <c r="AB27" s="253">
        <v>1140647.7071206346</v>
      </c>
      <c r="AC27" s="190">
        <v>0</v>
      </c>
      <c r="AD27" s="190">
        <v>0</v>
      </c>
      <c r="AE27" s="190">
        <v>48330.477333333336</v>
      </c>
      <c r="AF27" s="190">
        <v>0</v>
      </c>
      <c r="AG27" s="190">
        <v>2981.2600000000043</v>
      </c>
      <c r="AH27" s="190">
        <v>16720.97999999999</v>
      </c>
      <c r="AI27" s="190">
        <v>1749.8700000000017</v>
      </c>
      <c r="AJ27" s="190">
        <v>6480.983797500001</v>
      </c>
      <c r="AK27" s="190">
        <v>6805.032987375002</v>
      </c>
      <c r="AL27" s="190">
        <v>0</v>
      </c>
      <c r="AM27" s="190">
        <v>0</v>
      </c>
      <c r="AN27" s="190">
        <v>0</v>
      </c>
      <c r="AO27" s="190">
        <v>0</v>
      </c>
      <c r="AP27" s="190">
        <v>0</v>
      </c>
      <c r="AQ27" s="190">
        <v>0</v>
      </c>
      <c r="AR27" s="190">
        <v>0</v>
      </c>
      <c r="AS27" s="189">
        <v>244579.58319327742</v>
      </c>
      <c r="AT27" s="189">
        <v>0</v>
      </c>
      <c r="AU27" s="190">
        <v>63835.37777777773</v>
      </c>
      <c r="AV27" s="190">
        <v>0</v>
      </c>
      <c r="AW27" s="190">
        <v>0</v>
      </c>
      <c r="AX27" s="190">
        <v>0</v>
      </c>
      <c r="AY27" s="190">
        <v>140000</v>
      </c>
      <c r="AZ27" s="191">
        <v>32500</v>
      </c>
      <c r="BA27" s="191">
        <v>845</v>
      </c>
      <c r="BB27" s="190">
        <v>0</v>
      </c>
      <c r="BC27" s="190">
        <v>0</v>
      </c>
      <c r="BD27" s="268">
        <v>0</v>
      </c>
      <c r="BE27" s="253">
        <v>1140647.7071206346</v>
      </c>
      <c r="BF27" s="190">
        <v>391483.5650892635</v>
      </c>
      <c r="BG27" s="190">
        <v>173345</v>
      </c>
      <c r="BH27" s="190">
        <v>63835.37777777773</v>
      </c>
      <c r="BI27" s="218">
        <f t="shared" si="0"/>
        <v>1705476.272209898</v>
      </c>
      <c r="BJ27" s="190">
        <v>1705476.272209898</v>
      </c>
      <c r="BK27" s="190">
        <v>0</v>
      </c>
      <c r="BL27" s="190">
        <v>1532131.272209898</v>
      </c>
      <c r="BM27" s="190">
        <v>4279.696291089101</v>
      </c>
      <c r="BN27" s="190">
        <v>4268.6159325</v>
      </c>
      <c r="BO27" s="219">
        <v>0.002595773141532404</v>
      </c>
      <c r="BP27" s="220">
        <v>0</v>
      </c>
      <c r="BQ27" s="268">
        <v>0</v>
      </c>
      <c r="BR27" s="266">
        <v>1705476.272209898</v>
      </c>
      <c r="BS27" s="238">
        <v>-784.02</v>
      </c>
      <c r="BT27" s="254">
        <v>-436.76</v>
      </c>
      <c r="BU27" s="272">
        <v>1704255.492209898</v>
      </c>
      <c r="BV27" s="10"/>
      <c r="BW27" s="228">
        <v>235991.16756103892</v>
      </c>
      <c r="BX27" s="188">
        <v>0</v>
      </c>
      <c r="BY27" s="188"/>
      <c r="BZ27" s="188"/>
      <c r="CA27" s="229">
        <v>70329</v>
      </c>
      <c r="CC27" s="235">
        <v>63360</v>
      </c>
      <c r="CD27" s="224">
        <v>0</v>
      </c>
      <c r="CE27" s="224">
        <v>0</v>
      </c>
      <c r="CF27" s="224">
        <v>20740</v>
      </c>
      <c r="CG27" s="224">
        <v>138092</v>
      </c>
      <c r="CH27" s="224">
        <v>8778</v>
      </c>
      <c r="CI27" s="224"/>
      <c r="CJ27" s="229"/>
      <c r="CK27" s="2"/>
    </row>
    <row r="28" spans="1:89" ht="15">
      <c r="A28" s="243">
        <v>2061</v>
      </c>
      <c r="B28" s="187" t="s">
        <v>23</v>
      </c>
      <c r="C28" s="189">
        <v>400</v>
      </c>
      <c r="D28" s="189">
        <v>400</v>
      </c>
      <c r="E28" s="189">
        <v>0</v>
      </c>
      <c r="F28" s="189">
        <v>0</v>
      </c>
      <c r="G28" s="189">
        <v>0</v>
      </c>
      <c r="H28" s="189">
        <v>78.07486631016043</v>
      </c>
      <c r="I28" s="189">
        <v>0</v>
      </c>
      <c r="J28" s="189">
        <v>102</v>
      </c>
      <c r="K28" s="189">
        <v>39</v>
      </c>
      <c r="L28" s="189">
        <v>40</v>
      </c>
      <c r="M28" s="189">
        <v>2</v>
      </c>
      <c r="N28" s="189">
        <v>0</v>
      </c>
      <c r="O28" s="189">
        <v>0</v>
      </c>
      <c r="P28" s="189">
        <v>0</v>
      </c>
      <c r="Q28" s="189">
        <v>0</v>
      </c>
      <c r="R28" s="189">
        <v>0</v>
      </c>
      <c r="S28" s="189">
        <v>0</v>
      </c>
      <c r="T28" s="189">
        <v>0</v>
      </c>
      <c r="U28" s="189">
        <v>0</v>
      </c>
      <c r="V28" s="189">
        <v>76.0806916426512</v>
      </c>
      <c r="W28" s="189">
        <v>0</v>
      </c>
      <c r="X28" s="189">
        <v>100.62893081761</v>
      </c>
      <c r="Y28" s="189">
        <v>0</v>
      </c>
      <c r="Z28" s="189">
        <v>21.999999999999996</v>
      </c>
      <c r="AA28" s="244">
        <v>0</v>
      </c>
      <c r="AB28" s="253">
        <v>1274466.7118666307</v>
      </c>
      <c r="AC28" s="190">
        <v>0</v>
      </c>
      <c r="AD28" s="190">
        <v>0</v>
      </c>
      <c r="AE28" s="190">
        <v>79051.58288770054</v>
      </c>
      <c r="AF28" s="190">
        <v>0</v>
      </c>
      <c r="AG28" s="190">
        <v>6610.62</v>
      </c>
      <c r="AH28" s="190">
        <v>5055.18</v>
      </c>
      <c r="AI28" s="190">
        <v>7777.200000000001</v>
      </c>
      <c r="AJ28" s="190">
        <v>518.4787038</v>
      </c>
      <c r="AK28" s="190">
        <v>0</v>
      </c>
      <c r="AL28" s="190">
        <v>0</v>
      </c>
      <c r="AM28" s="190">
        <v>0</v>
      </c>
      <c r="AN28" s="190">
        <v>0</v>
      </c>
      <c r="AO28" s="190">
        <v>0</v>
      </c>
      <c r="AP28" s="190">
        <v>0</v>
      </c>
      <c r="AQ28" s="190">
        <v>0</v>
      </c>
      <c r="AR28" s="190">
        <v>0</v>
      </c>
      <c r="AS28" s="189">
        <v>56229.71757925065</v>
      </c>
      <c r="AT28" s="189">
        <v>0</v>
      </c>
      <c r="AU28" s="190">
        <v>59371.069182389896</v>
      </c>
      <c r="AV28" s="190">
        <v>0</v>
      </c>
      <c r="AW28" s="190">
        <v>17599.999999999996</v>
      </c>
      <c r="AX28" s="190">
        <v>0</v>
      </c>
      <c r="AY28" s="190">
        <v>140000</v>
      </c>
      <c r="AZ28" s="191">
        <v>59500</v>
      </c>
      <c r="BA28" s="191">
        <v>2113.13</v>
      </c>
      <c r="BB28" s="190">
        <v>0</v>
      </c>
      <c r="BC28" s="190">
        <v>0</v>
      </c>
      <c r="BD28" s="268">
        <v>0</v>
      </c>
      <c r="BE28" s="253">
        <v>1274466.7118666307</v>
      </c>
      <c r="BF28" s="190">
        <v>232213.8483531411</v>
      </c>
      <c r="BG28" s="190">
        <v>201613.13</v>
      </c>
      <c r="BH28" s="190">
        <v>59371.069182389896</v>
      </c>
      <c r="BI28" s="218">
        <f t="shared" si="0"/>
        <v>1708293.6902197716</v>
      </c>
      <c r="BJ28" s="190">
        <v>1708293.6902197716</v>
      </c>
      <c r="BK28" s="190">
        <v>0</v>
      </c>
      <c r="BL28" s="190">
        <v>1506680.5602197717</v>
      </c>
      <c r="BM28" s="190">
        <v>3766.7014005494293</v>
      </c>
      <c r="BN28" s="190">
        <v>3696.0489282666667</v>
      </c>
      <c r="BO28" s="219">
        <v>0.01911567559142038</v>
      </c>
      <c r="BP28" s="220">
        <v>0</v>
      </c>
      <c r="BQ28" s="268">
        <v>0</v>
      </c>
      <c r="BR28" s="266">
        <v>1708293.6902197716</v>
      </c>
      <c r="BS28" s="238">
        <v>-876</v>
      </c>
      <c r="BT28" s="254">
        <v>-488</v>
      </c>
      <c r="BU28" s="272">
        <v>1706929.6902197716</v>
      </c>
      <c r="BV28" s="10"/>
      <c r="BW28" s="228">
        <v>113040.7172061836</v>
      </c>
      <c r="BX28" s="188">
        <v>0</v>
      </c>
      <c r="BY28" s="188"/>
      <c r="BZ28" s="188"/>
      <c r="CA28" s="229">
        <v>36642</v>
      </c>
      <c r="CC28" s="235">
        <v>96360</v>
      </c>
      <c r="CD28" s="224">
        <v>3900</v>
      </c>
      <c r="CE28" s="224">
        <v>2300</v>
      </c>
      <c r="CF28" s="224">
        <v>20030</v>
      </c>
      <c r="CG28" s="224">
        <v>53969.49999999999</v>
      </c>
      <c r="CH28" s="224">
        <v>8255</v>
      </c>
      <c r="CI28" s="224"/>
      <c r="CJ28" s="229"/>
      <c r="CK28" s="2"/>
    </row>
    <row r="29" spans="1:89" ht="15">
      <c r="A29" s="243">
        <v>2063</v>
      </c>
      <c r="B29" s="187" t="s">
        <v>95</v>
      </c>
      <c r="C29" s="189">
        <v>342</v>
      </c>
      <c r="D29" s="189">
        <v>342</v>
      </c>
      <c r="E29" s="189">
        <v>0</v>
      </c>
      <c r="F29" s="189">
        <v>0</v>
      </c>
      <c r="G29" s="189">
        <v>0</v>
      </c>
      <c r="H29" s="189">
        <v>61.851063829787236</v>
      </c>
      <c r="I29" s="189">
        <v>0</v>
      </c>
      <c r="J29" s="189">
        <v>121.99999999999986</v>
      </c>
      <c r="K29" s="189">
        <v>94.00000000000013</v>
      </c>
      <c r="L29" s="189">
        <v>56.000000000000156</v>
      </c>
      <c r="M29" s="189">
        <v>8.000000000000007</v>
      </c>
      <c r="N29" s="189">
        <v>0.9999999999999984</v>
      </c>
      <c r="O29" s="189">
        <v>0</v>
      </c>
      <c r="P29" s="189">
        <v>0</v>
      </c>
      <c r="Q29" s="189">
        <v>0</v>
      </c>
      <c r="R29" s="189">
        <v>0</v>
      </c>
      <c r="S29" s="189">
        <v>0</v>
      </c>
      <c r="T29" s="189">
        <v>0</v>
      </c>
      <c r="U29" s="189">
        <v>0</v>
      </c>
      <c r="V29" s="189">
        <v>85.5</v>
      </c>
      <c r="W29" s="189">
        <v>0</v>
      </c>
      <c r="X29" s="189">
        <v>120.70588235294109</v>
      </c>
      <c r="Y29" s="189">
        <v>0</v>
      </c>
      <c r="Z29" s="189">
        <v>6.800000000000162</v>
      </c>
      <c r="AA29" s="244">
        <v>0</v>
      </c>
      <c r="AB29" s="253">
        <v>1089669.0386459692</v>
      </c>
      <c r="AC29" s="190">
        <v>0</v>
      </c>
      <c r="AD29" s="190">
        <v>0</v>
      </c>
      <c r="AE29" s="190">
        <v>62624.820638297875</v>
      </c>
      <c r="AF29" s="190">
        <v>0</v>
      </c>
      <c r="AG29" s="190">
        <v>7906.819999999991</v>
      </c>
      <c r="AH29" s="190">
        <v>12184.280000000017</v>
      </c>
      <c r="AI29" s="190">
        <v>10888.08000000003</v>
      </c>
      <c r="AJ29" s="190">
        <v>2073.9148152000016</v>
      </c>
      <c r="AK29" s="190">
        <v>324.04918987499946</v>
      </c>
      <c r="AL29" s="190">
        <v>0</v>
      </c>
      <c r="AM29" s="190">
        <v>0</v>
      </c>
      <c r="AN29" s="190">
        <v>0</v>
      </c>
      <c r="AO29" s="190">
        <v>0</v>
      </c>
      <c r="AP29" s="190">
        <v>0</v>
      </c>
      <c r="AQ29" s="190">
        <v>0</v>
      </c>
      <c r="AR29" s="190">
        <v>0</v>
      </c>
      <c r="AS29" s="189">
        <v>63191.340000000004</v>
      </c>
      <c r="AT29" s="189">
        <v>0</v>
      </c>
      <c r="AU29" s="190">
        <v>71216.47058823524</v>
      </c>
      <c r="AV29" s="190">
        <v>0</v>
      </c>
      <c r="AW29" s="190">
        <v>5440.00000000013</v>
      </c>
      <c r="AX29" s="190">
        <v>0</v>
      </c>
      <c r="AY29" s="190">
        <v>140000</v>
      </c>
      <c r="AZ29" s="191">
        <v>51000</v>
      </c>
      <c r="BA29" s="191">
        <v>1326</v>
      </c>
      <c r="BB29" s="190">
        <v>0</v>
      </c>
      <c r="BC29" s="190">
        <v>0</v>
      </c>
      <c r="BD29" s="268">
        <v>0</v>
      </c>
      <c r="BE29" s="253">
        <v>1089669.0386459692</v>
      </c>
      <c r="BF29" s="190">
        <v>235849.77523160828</v>
      </c>
      <c r="BG29" s="190">
        <v>192326</v>
      </c>
      <c r="BH29" s="190">
        <v>71216.47058823524</v>
      </c>
      <c r="BI29" s="218">
        <f t="shared" si="0"/>
        <v>1517844.8138775774</v>
      </c>
      <c r="BJ29" s="190">
        <v>1517844.8138775777</v>
      </c>
      <c r="BK29" s="190">
        <v>0</v>
      </c>
      <c r="BL29" s="190">
        <v>1325518.8138775774</v>
      </c>
      <c r="BM29" s="190">
        <v>3875.7860054899925</v>
      </c>
      <c r="BN29" s="190">
        <v>3853.1478533333334</v>
      </c>
      <c r="BO29" s="219">
        <v>0.005875235786001559</v>
      </c>
      <c r="BP29" s="220">
        <v>0</v>
      </c>
      <c r="BQ29" s="268">
        <v>0</v>
      </c>
      <c r="BR29" s="266">
        <v>1517844.8138775774</v>
      </c>
      <c r="BS29" s="238">
        <v>-748.98</v>
      </c>
      <c r="BT29" s="254">
        <v>-417.24</v>
      </c>
      <c r="BU29" s="272">
        <v>1516678.5938775775</v>
      </c>
      <c r="BV29" s="10"/>
      <c r="BW29" s="228">
        <v>64931.34564820023</v>
      </c>
      <c r="BX29" s="188">
        <v>0</v>
      </c>
      <c r="BY29" s="188"/>
      <c r="BZ29" s="188"/>
      <c r="CA29" s="229">
        <v>20700</v>
      </c>
      <c r="CC29" s="235">
        <v>88440</v>
      </c>
      <c r="CD29" s="224">
        <v>2700</v>
      </c>
      <c r="CE29" s="224">
        <v>4600</v>
      </c>
      <c r="CF29" s="224">
        <v>19870</v>
      </c>
      <c r="CG29" s="224">
        <v>56810</v>
      </c>
      <c r="CH29" s="224">
        <v>8300</v>
      </c>
      <c r="CI29" s="224"/>
      <c r="CJ29" s="229"/>
      <c r="CK29" s="2"/>
    </row>
    <row r="30" spans="1:89" ht="15">
      <c r="A30" s="243">
        <v>2064</v>
      </c>
      <c r="B30" s="187" t="s">
        <v>24</v>
      </c>
      <c r="C30" s="189">
        <v>575</v>
      </c>
      <c r="D30" s="189">
        <v>575</v>
      </c>
      <c r="E30" s="189">
        <v>0</v>
      </c>
      <c r="F30" s="189">
        <v>0</v>
      </c>
      <c r="G30" s="189">
        <v>0</v>
      </c>
      <c r="H30" s="189">
        <v>223.61111111111111</v>
      </c>
      <c r="I30" s="189">
        <v>0</v>
      </c>
      <c r="J30" s="189">
        <v>33.00000000000001</v>
      </c>
      <c r="K30" s="189">
        <v>305.0000000000002</v>
      </c>
      <c r="L30" s="189">
        <v>180.00000000000023</v>
      </c>
      <c r="M30" s="189">
        <v>21.00000000000001</v>
      </c>
      <c r="N30" s="189">
        <v>4.0000000000000036</v>
      </c>
      <c r="O30" s="189">
        <v>0</v>
      </c>
      <c r="P30" s="189">
        <v>0</v>
      </c>
      <c r="Q30" s="189">
        <v>0</v>
      </c>
      <c r="R30" s="189">
        <v>0</v>
      </c>
      <c r="S30" s="189">
        <v>0</v>
      </c>
      <c r="T30" s="189">
        <v>0</v>
      </c>
      <c r="U30" s="189">
        <v>0</v>
      </c>
      <c r="V30" s="189">
        <v>181.1483739837398</v>
      </c>
      <c r="W30" s="189">
        <v>0</v>
      </c>
      <c r="X30" s="189">
        <v>219.85294117647084</v>
      </c>
      <c r="Y30" s="189">
        <v>0</v>
      </c>
      <c r="Z30" s="189">
        <v>16.499999999999964</v>
      </c>
      <c r="AA30" s="244">
        <v>0</v>
      </c>
      <c r="AB30" s="253">
        <v>1832045.8983082818</v>
      </c>
      <c r="AC30" s="190">
        <v>0</v>
      </c>
      <c r="AD30" s="190">
        <v>0</v>
      </c>
      <c r="AE30" s="190">
        <v>226408.48611111112</v>
      </c>
      <c r="AF30" s="190">
        <v>0</v>
      </c>
      <c r="AG30" s="190">
        <v>2138.7300000000005</v>
      </c>
      <c r="AH30" s="190">
        <v>39534.10000000003</v>
      </c>
      <c r="AI30" s="190">
        <v>34997.400000000045</v>
      </c>
      <c r="AJ30" s="190">
        <v>5444.026389900002</v>
      </c>
      <c r="AK30" s="190">
        <v>1296.196759500001</v>
      </c>
      <c r="AL30" s="190">
        <v>0</v>
      </c>
      <c r="AM30" s="190">
        <v>0</v>
      </c>
      <c r="AN30" s="190">
        <v>0</v>
      </c>
      <c r="AO30" s="190">
        <v>0</v>
      </c>
      <c r="AP30" s="190">
        <v>0</v>
      </c>
      <c r="AQ30" s="190">
        <v>0</v>
      </c>
      <c r="AR30" s="190">
        <v>0</v>
      </c>
      <c r="AS30" s="189">
        <v>133883.14024390242</v>
      </c>
      <c r="AT30" s="189">
        <v>0</v>
      </c>
      <c r="AU30" s="190">
        <v>129713.2352941178</v>
      </c>
      <c r="AV30" s="190">
        <v>0</v>
      </c>
      <c r="AW30" s="190">
        <v>13199.99999999997</v>
      </c>
      <c r="AX30" s="190">
        <v>0</v>
      </c>
      <c r="AY30" s="190">
        <v>140000</v>
      </c>
      <c r="AZ30" s="191">
        <v>82000</v>
      </c>
      <c r="BA30" s="191">
        <v>2132</v>
      </c>
      <c r="BB30" s="190">
        <v>0</v>
      </c>
      <c r="BC30" s="190">
        <v>0</v>
      </c>
      <c r="BD30" s="268">
        <v>0</v>
      </c>
      <c r="BE30" s="253">
        <v>1832045.8983082818</v>
      </c>
      <c r="BF30" s="190">
        <v>586615.3147985315</v>
      </c>
      <c r="BG30" s="190">
        <v>224132</v>
      </c>
      <c r="BH30" s="190">
        <v>129713.2352941178</v>
      </c>
      <c r="BI30" s="218">
        <f t="shared" si="0"/>
        <v>2642793.2131068134</v>
      </c>
      <c r="BJ30" s="190">
        <v>2642793.213106813</v>
      </c>
      <c r="BK30" s="190">
        <v>0</v>
      </c>
      <c r="BL30" s="190">
        <v>2418661.2131068134</v>
      </c>
      <c r="BM30" s="190">
        <v>4206.367327142284</v>
      </c>
      <c r="BN30" s="190">
        <v>4209.98288229927</v>
      </c>
      <c r="BO30" s="219">
        <v>-0.0008588051918661839</v>
      </c>
      <c r="BP30" s="220">
        <v>0</v>
      </c>
      <c r="BQ30" s="268">
        <v>0</v>
      </c>
      <c r="BR30" s="266">
        <v>2642793.2131068134</v>
      </c>
      <c r="BS30" s="238">
        <v>-1259.25</v>
      </c>
      <c r="BT30" s="254">
        <v>-701.5</v>
      </c>
      <c r="BU30" s="272">
        <v>2640832.4631068134</v>
      </c>
      <c r="BV30" s="10"/>
      <c r="BW30" s="228">
        <v>217601.42523651506</v>
      </c>
      <c r="BX30" s="188">
        <v>0</v>
      </c>
      <c r="BY30" s="188"/>
      <c r="BZ30" s="188"/>
      <c r="CA30" s="229">
        <v>153218</v>
      </c>
      <c r="CC30" s="235">
        <v>271920</v>
      </c>
      <c r="CD30" s="224">
        <v>0</v>
      </c>
      <c r="CE30" s="224">
        <v>6900</v>
      </c>
      <c r="CF30" s="224">
        <v>21920</v>
      </c>
      <c r="CG30" s="224">
        <v>54843.49999999999</v>
      </c>
      <c r="CH30" s="224">
        <v>10431</v>
      </c>
      <c r="CI30" s="224"/>
      <c r="CJ30" s="229"/>
      <c r="CK30" s="2"/>
    </row>
    <row r="31" spans="1:89" ht="15">
      <c r="A31" s="243">
        <v>2065</v>
      </c>
      <c r="B31" s="221" t="s">
        <v>96</v>
      </c>
      <c r="C31" s="189">
        <v>238</v>
      </c>
      <c r="D31" s="189">
        <v>238</v>
      </c>
      <c r="E31" s="189">
        <v>0</v>
      </c>
      <c r="F31" s="189">
        <v>0</v>
      </c>
      <c r="G31" s="189">
        <v>0</v>
      </c>
      <c r="H31" s="189">
        <v>19.358851674641148</v>
      </c>
      <c r="I31" s="189">
        <v>0</v>
      </c>
      <c r="J31" s="189">
        <v>38.99999999999991</v>
      </c>
      <c r="K31" s="189">
        <v>13</v>
      </c>
      <c r="L31" s="189">
        <v>0</v>
      </c>
      <c r="M31" s="189">
        <v>0</v>
      </c>
      <c r="N31" s="189">
        <v>0</v>
      </c>
      <c r="O31" s="189">
        <v>0</v>
      </c>
      <c r="P31" s="189">
        <v>0</v>
      </c>
      <c r="Q31" s="189">
        <v>0</v>
      </c>
      <c r="R31" s="189">
        <v>0</v>
      </c>
      <c r="S31" s="189">
        <v>0</v>
      </c>
      <c r="T31" s="189">
        <v>0</v>
      </c>
      <c r="U31" s="189">
        <v>0</v>
      </c>
      <c r="V31" s="189">
        <v>25.262569832402225</v>
      </c>
      <c r="W31" s="189">
        <v>0</v>
      </c>
      <c r="X31" s="189">
        <v>42.89534883720933</v>
      </c>
      <c r="Y31" s="189">
        <v>0</v>
      </c>
      <c r="Z31" s="189">
        <v>0</v>
      </c>
      <c r="AA31" s="244">
        <v>0</v>
      </c>
      <c r="AB31" s="253">
        <v>758307.6935606453</v>
      </c>
      <c r="AC31" s="190">
        <v>0</v>
      </c>
      <c r="AD31" s="190">
        <v>0</v>
      </c>
      <c r="AE31" s="190">
        <v>19601.030909090907</v>
      </c>
      <c r="AF31" s="190">
        <v>0</v>
      </c>
      <c r="AG31" s="190">
        <v>2527.5899999999942</v>
      </c>
      <c r="AH31" s="190">
        <v>1685.06</v>
      </c>
      <c r="AI31" s="190">
        <v>0</v>
      </c>
      <c r="AJ31" s="190">
        <v>0</v>
      </c>
      <c r="AK31" s="190">
        <v>0</v>
      </c>
      <c r="AL31" s="190">
        <v>0</v>
      </c>
      <c r="AM31" s="190">
        <v>0</v>
      </c>
      <c r="AN31" s="190">
        <v>0</v>
      </c>
      <c r="AO31" s="190">
        <v>0</v>
      </c>
      <c r="AP31" s="190">
        <v>0</v>
      </c>
      <c r="AQ31" s="190">
        <v>0</v>
      </c>
      <c r="AR31" s="190">
        <v>0</v>
      </c>
      <c r="AS31" s="189">
        <v>18671.060111731837</v>
      </c>
      <c r="AT31" s="189">
        <v>0</v>
      </c>
      <c r="AU31" s="190">
        <v>25308.255813953507</v>
      </c>
      <c r="AV31" s="190">
        <v>0</v>
      </c>
      <c r="AW31" s="190">
        <v>0</v>
      </c>
      <c r="AX31" s="190">
        <v>0</v>
      </c>
      <c r="AY31" s="190">
        <v>140000</v>
      </c>
      <c r="AZ31" s="191">
        <v>18240</v>
      </c>
      <c r="BA31" s="191">
        <v>-3620.5</v>
      </c>
      <c r="BB31" s="190">
        <v>0</v>
      </c>
      <c r="BC31" s="190">
        <v>0</v>
      </c>
      <c r="BD31" s="268">
        <v>0</v>
      </c>
      <c r="BE31" s="253">
        <v>758307.6935606453</v>
      </c>
      <c r="BF31" s="190">
        <v>67792.99683477625</v>
      </c>
      <c r="BG31" s="190">
        <v>154619.5</v>
      </c>
      <c r="BH31" s="190">
        <v>25308.255813953507</v>
      </c>
      <c r="BI31" s="218">
        <f t="shared" si="0"/>
        <v>980720.1903954216</v>
      </c>
      <c r="BJ31" s="190">
        <v>980720.1903954216</v>
      </c>
      <c r="BK31" s="190">
        <v>0</v>
      </c>
      <c r="BL31" s="190">
        <v>826100.6903954216</v>
      </c>
      <c r="BM31" s="190">
        <v>3471.011304182444</v>
      </c>
      <c r="BN31" s="190">
        <v>3474.751377142857</v>
      </c>
      <c r="BO31" s="219">
        <v>-0.0010763569978029847</v>
      </c>
      <c r="BP31" s="220">
        <v>0</v>
      </c>
      <c r="BQ31" s="268">
        <v>0</v>
      </c>
      <c r="BR31" s="266">
        <v>980720.1903954216</v>
      </c>
      <c r="BS31" s="238">
        <v>-521.22</v>
      </c>
      <c r="BT31" s="254">
        <v>-290.36</v>
      </c>
      <c r="BU31" s="272">
        <v>979908.6103954216</v>
      </c>
      <c r="BV31" s="10"/>
      <c r="BW31" s="228">
        <v>91960.15426976817</v>
      </c>
      <c r="BX31" s="188">
        <v>0</v>
      </c>
      <c r="BY31" s="188">
        <v>63349</v>
      </c>
      <c r="BZ31" s="188"/>
      <c r="CA31" s="229">
        <v>64400</v>
      </c>
      <c r="CC31" s="235">
        <v>22440</v>
      </c>
      <c r="CD31" s="224">
        <v>0</v>
      </c>
      <c r="CE31" s="224">
        <v>6900</v>
      </c>
      <c r="CF31" s="224">
        <v>18370</v>
      </c>
      <c r="CG31" s="224">
        <v>35834</v>
      </c>
      <c r="CH31" s="224">
        <v>6621</v>
      </c>
      <c r="CI31" s="224"/>
      <c r="CJ31" s="229"/>
      <c r="CK31" s="2"/>
    </row>
    <row r="32" spans="1:89" ht="15">
      <c r="A32" s="243">
        <v>2069</v>
      </c>
      <c r="B32" s="187" t="s">
        <v>25</v>
      </c>
      <c r="C32" s="189">
        <v>287</v>
      </c>
      <c r="D32" s="189">
        <v>287</v>
      </c>
      <c r="E32" s="189">
        <v>0</v>
      </c>
      <c r="F32" s="189">
        <v>0</v>
      </c>
      <c r="G32" s="189">
        <v>0</v>
      </c>
      <c r="H32" s="189">
        <v>67.32098765432099</v>
      </c>
      <c r="I32" s="189">
        <v>0</v>
      </c>
      <c r="J32" s="189">
        <v>59.9999999999999</v>
      </c>
      <c r="K32" s="189">
        <v>127.00000000000007</v>
      </c>
      <c r="L32" s="189">
        <v>26.999999999999996</v>
      </c>
      <c r="M32" s="189">
        <v>4.999999999999987</v>
      </c>
      <c r="N32" s="189">
        <v>0</v>
      </c>
      <c r="O32" s="189">
        <v>0</v>
      </c>
      <c r="P32" s="189">
        <v>0</v>
      </c>
      <c r="Q32" s="189">
        <v>0</v>
      </c>
      <c r="R32" s="189">
        <v>0</v>
      </c>
      <c r="S32" s="189">
        <v>0</v>
      </c>
      <c r="T32" s="189">
        <v>0</v>
      </c>
      <c r="U32" s="189">
        <v>0</v>
      </c>
      <c r="V32" s="189">
        <v>174.7574257425743</v>
      </c>
      <c r="W32" s="189">
        <v>0</v>
      </c>
      <c r="X32" s="189">
        <v>100.67539267015704</v>
      </c>
      <c r="Y32" s="189">
        <v>0</v>
      </c>
      <c r="Z32" s="189">
        <v>4.3000000000001295</v>
      </c>
      <c r="AA32" s="244">
        <v>0</v>
      </c>
      <c r="AB32" s="253">
        <v>914429.8657643076</v>
      </c>
      <c r="AC32" s="190">
        <v>0</v>
      </c>
      <c r="AD32" s="190">
        <v>0</v>
      </c>
      <c r="AE32" s="190">
        <v>68163.17320987654</v>
      </c>
      <c r="AF32" s="190">
        <v>0</v>
      </c>
      <c r="AG32" s="190">
        <v>3888.5999999999935</v>
      </c>
      <c r="AH32" s="190">
        <v>16461.74000000001</v>
      </c>
      <c r="AI32" s="190">
        <v>5249.61</v>
      </c>
      <c r="AJ32" s="190">
        <v>1296.1967594999965</v>
      </c>
      <c r="AK32" s="190">
        <v>0</v>
      </c>
      <c r="AL32" s="190">
        <v>0</v>
      </c>
      <c r="AM32" s="190">
        <v>0</v>
      </c>
      <c r="AN32" s="190">
        <v>0</v>
      </c>
      <c r="AO32" s="190">
        <v>0</v>
      </c>
      <c r="AP32" s="190">
        <v>0</v>
      </c>
      <c r="AQ32" s="190">
        <v>0</v>
      </c>
      <c r="AR32" s="190">
        <v>0</v>
      </c>
      <c r="AS32" s="189">
        <v>129159.71821782182</v>
      </c>
      <c r="AT32" s="189">
        <v>0</v>
      </c>
      <c r="AU32" s="190">
        <v>59398.48167539265</v>
      </c>
      <c r="AV32" s="190">
        <v>0</v>
      </c>
      <c r="AW32" s="190">
        <v>3440.0000000001037</v>
      </c>
      <c r="AX32" s="190">
        <v>0</v>
      </c>
      <c r="AY32" s="190">
        <v>140000</v>
      </c>
      <c r="AZ32" s="191">
        <v>41250</v>
      </c>
      <c r="BA32" s="191">
        <v>1072.5</v>
      </c>
      <c r="BB32" s="190">
        <v>0</v>
      </c>
      <c r="BC32" s="190">
        <v>0</v>
      </c>
      <c r="BD32" s="268">
        <v>0</v>
      </c>
      <c r="BE32" s="253">
        <v>914429.8657643076</v>
      </c>
      <c r="BF32" s="190">
        <v>287057.5198625911</v>
      </c>
      <c r="BG32" s="190">
        <v>182322.5</v>
      </c>
      <c r="BH32" s="190">
        <v>59398.48167539265</v>
      </c>
      <c r="BI32" s="218">
        <f t="shared" si="0"/>
        <v>1383809.8856268986</v>
      </c>
      <c r="BJ32" s="190">
        <v>1383809.8856268986</v>
      </c>
      <c r="BK32" s="190">
        <v>0</v>
      </c>
      <c r="BL32" s="190">
        <v>1201487.3856268986</v>
      </c>
      <c r="BM32" s="190">
        <v>4186.367197306267</v>
      </c>
      <c r="BN32" s="190">
        <v>4187.111130990415</v>
      </c>
      <c r="BO32" s="219">
        <v>-0.00017767230457340721</v>
      </c>
      <c r="BP32" s="220">
        <v>0</v>
      </c>
      <c r="BQ32" s="268">
        <v>0</v>
      </c>
      <c r="BR32" s="266">
        <v>1383809.8856268986</v>
      </c>
      <c r="BS32" s="238">
        <v>-628.53</v>
      </c>
      <c r="BT32" s="254">
        <v>-350.14</v>
      </c>
      <c r="BU32" s="272">
        <v>1382831.2156268987</v>
      </c>
      <c r="BV32" s="10"/>
      <c r="BW32" s="228">
        <v>194319.85203189446</v>
      </c>
      <c r="BX32" s="188">
        <v>0</v>
      </c>
      <c r="BY32" s="188"/>
      <c r="BZ32" s="188"/>
      <c r="CA32" s="229">
        <v>23792</v>
      </c>
      <c r="CC32" s="235">
        <v>100320</v>
      </c>
      <c r="CD32" s="224">
        <v>900</v>
      </c>
      <c r="CE32" s="224">
        <v>0</v>
      </c>
      <c r="CF32" s="224">
        <v>19710</v>
      </c>
      <c r="CG32" s="224">
        <v>91114.49999999999</v>
      </c>
      <c r="CH32" s="224">
        <v>8151</v>
      </c>
      <c r="CI32" s="224"/>
      <c r="CJ32" s="229"/>
      <c r="CK32" s="2"/>
    </row>
    <row r="33" spans="1:89" ht="15">
      <c r="A33" s="243">
        <v>2074</v>
      </c>
      <c r="B33" s="187" t="s">
        <v>205</v>
      </c>
      <c r="C33" s="189">
        <v>266</v>
      </c>
      <c r="D33" s="189">
        <v>266</v>
      </c>
      <c r="E33" s="189">
        <v>0</v>
      </c>
      <c r="F33" s="189">
        <v>0</v>
      </c>
      <c r="G33" s="189">
        <v>0</v>
      </c>
      <c r="H33" s="189">
        <v>10.87732342007435</v>
      </c>
      <c r="I33" s="189">
        <v>0</v>
      </c>
      <c r="J33" s="189">
        <v>58.00000000000003</v>
      </c>
      <c r="K33" s="189">
        <v>2.999999999999999</v>
      </c>
      <c r="L33" s="189">
        <v>0</v>
      </c>
      <c r="M33" s="189">
        <v>0</v>
      </c>
      <c r="N33" s="189">
        <v>0</v>
      </c>
      <c r="O33" s="189">
        <v>0</v>
      </c>
      <c r="P33" s="189">
        <v>0</v>
      </c>
      <c r="Q33" s="189">
        <v>0</v>
      </c>
      <c r="R33" s="189">
        <v>0</v>
      </c>
      <c r="S33" s="189">
        <v>0</v>
      </c>
      <c r="T33" s="189">
        <v>0</v>
      </c>
      <c r="U33" s="189">
        <v>0</v>
      </c>
      <c r="V33" s="189">
        <v>45.34090909090897</v>
      </c>
      <c r="W33" s="189">
        <v>0</v>
      </c>
      <c r="X33" s="189">
        <v>56.239999999999874</v>
      </c>
      <c r="Y33" s="189">
        <v>0</v>
      </c>
      <c r="Z33" s="189">
        <v>0</v>
      </c>
      <c r="AA33" s="244">
        <v>0</v>
      </c>
      <c r="AB33" s="253">
        <v>847520.3633913095</v>
      </c>
      <c r="AC33" s="190">
        <v>0</v>
      </c>
      <c r="AD33" s="190">
        <v>0</v>
      </c>
      <c r="AE33" s="190">
        <v>11013.398736059478</v>
      </c>
      <c r="AF33" s="190">
        <v>0</v>
      </c>
      <c r="AG33" s="190">
        <v>3758.980000000002</v>
      </c>
      <c r="AH33" s="190">
        <v>388.8599999999999</v>
      </c>
      <c r="AI33" s="190">
        <v>0</v>
      </c>
      <c r="AJ33" s="190">
        <v>0</v>
      </c>
      <c r="AK33" s="190">
        <v>0</v>
      </c>
      <c r="AL33" s="190">
        <v>0</v>
      </c>
      <c r="AM33" s="190">
        <v>0</v>
      </c>
      <c r="AN33" s="190">
        <v>0</v>
      </c>
      <c r="AO33" s="190">
        <v>0</v>
      </c>
      <c r="AP33" s="190">
        <v>0</v>
      </c>
      <c r="AQ33" s="190">
        <v>0</v>
      </c>
      <c r="AR33" s="190">
        <v>0</v>
      </c>
      <c r="AS33" s="189">
        <v>33510.559090909</v>
      </c>
      <c r="AT33" s="189">
        <v>0</v>
      </c>
      <c r="AU33" s="190">
        <v>33181.599999999926</v>
      </c>
      <c r="AV33" s="190">
        <v>0</v>
      </c>
      <c r="AW33" s="190">
        <v>0</v>
      </c>
      <c r="AX33" s="190">
        <v>0</v>
      </c>
      <c r="AY33" s="190">
        <v>140000</v>
      </c>
      <c r="AZ33" s="191">
        <v>29500</v>
      </c>
      <c r="BA33" s="191">
        <v>767</v>
      </c>
      <c r="BB33" s="190">
        <v>0</v>
      </c>
      <c r="BC33" s="190">
        <v>0</v>
      </c>
      <c r="BD33" s="268">
        <v>0</v>
      </c>
      <c r="BE33" s="253">
        <v>847520.3633913095</v>
      </c>
      <c r="BF33" s="190">
        <v>81853.3978269684</v>
      </c>
      <c r="BG33" s="190">
        <v>170267</v>
      </c>
      <c r="BH33" s="190">
        <v>33181.599999999926</v>
      </c>
      <c r="BI33" s="218">
        <f t="shared" si="0"/>
        <v>1099640.761218278</v>
      </c>
      <c r="BJ33" s="190">
        <v>1099640.7612182777</v>
      </c>
      <c r="BK33" s="190">
        <v>0</v>
      </c>
      <c r="BL33" s="190">
        <v>929373.761218278</v>
      </c>
      <c r="BM33" s="190">
        <v>3493.886320369466</v>
      </c>
      <c r="BN33" s="190">
        <v>3515.071444237918</v>
      </c>
      <c r="BO33" s="219">
        <v>-0.006026939766239988</v>
      </c>
      <c r="BP33" s="220">
        <v>0</v>
      </c>
      <c r="BQ33" s="268">
        <v>0</v>
      </c>
      <c r="BR33" s="266">
        <v>1099640.761218278</v>
      </c>
      <c r="BS33" s="238">
        <v>-582.54</v>
      </c>
      <c r="BT33" s="254">
        <v>-324.52</v>
      </c>
      <c r="BU33" s="272">
        <v>1098733.701218278</v>
      </c>
      <c r="BV33" s="10"/>
      <c r="BW33" s="228">
        <v>175558.61827431992</v>
      </c>
      <c r="BX33" s="188">
        <v>70688.5032521765</v>
      </c>
      <c r="BY33" s="188"/>
      <c r="BZ33" s="188"/>
      <c r="CA33" s="229">
        <v>42458</v>
      </c>
      <c r="CC33" s="235">
        <v>14520</v>
      </c>
      <c r="CD33" s="224">
        <v>300</v>
      </c>
      <c r="CE33" s="224">
        <v>9200</v>
      </c>
      <c r="CF33" s="224">
        <v>19210</v>
      </c>
      <c r="CG33" s="224">
        <v>85214.99999999999</v>
      </c>
      <c r="CH33" s="224">
        <v>7458</v>
      </c>
      <c r="CI33" s="224"/>
      <c r="CJ33" s="229"/>
      <c r="CK33" s="2"/>
    </row>
    <row r="34" spans="1:89" ht="15">
      <c r="A34" s="243">
        <v>2076</v>
      </c>
      <c r="B34" s="187" t="s">
        <v>26</v>
      </c>
      <c r="C34" s="189">
        <v>407</v>
      </c>
      <c r="D34" s="189">
        <v>407</v>
      </c>
      <c r="E34" s="189">
        <v>0</v>
      </c>
      <c r="F34" s="189">
        <v>0</v>
      </c>
      <c r="G34" s="189">
        <v>0</v>
      </c>
      <c r="H34" s="189">
        <v>60.99999999999999</v>
      </c>
      <c r="I34" s="189">
        <v>0</v>
      </c>
      <c r="J34" s="189">
        <v>70</v>
      </c>
      <c r="K34" s="189">
        <v>15.999999999999995</v>
      </c>
      <c r="L34" s="189">
        <v>0</v>
      </c>
      <c r="M34" s="189">
        <v>1.000000000000001</v>
      </c>
      <c r="N34" s="189">
        <v>0</v>
      </c>
      <c r="O34" s="189">
        <v>0</v>
      </c>
      <c r="P34" s="189">
        <v>0</v>
      </c>
      <c r="Q34" s="189">
        <v>0</v>
      </c>
      <c r="R34" s="189">
        <v>0</v>
      </c>
      <c r="S34" s="189">
        <v>0</v>
      </c>
      <c r="T34" s="189">
        <v>0</v>
      </c>
      <c r="U34" s="189">
        <v>0</v>
      </c>
      <c r="V34" s="189">
        <v>80.69827586206917</v>
      </c>
      <c r="W34" s="189">
        <v>0</v>
      </c>
      <c r="X34" s="189">
        <v>126.09509202453971</v>
      </c>
      <c r="Y34" s="189">
        <v>0</v>
      </c>
      <c r="Z34" s="189">
        <v>0</v>
      </c>
      <c r="AA34" s="244">
        <v>0</v>
      </c>
      <c r="AB34" s="253">
        <v>1296769.8793242967</v>
      </c>
      <c r="AC34" s="190">
        <v>0</v>
      </c>
      <c r="AD34" s="190">
        <v>0</v>
      </c>
      <c r="AE34" s="190">
        <v>61763.10999999999</v>
      </c>
      <c r="AF34" s="190">
        <v>0</v>
      </c>
      <c r="AG34" s="190">
        <v>4536.7</v>
      </c>
      <c r="AH34" s="190">
        <v>2073.919999999999</v>
      </c>
      <c r="AI34" s="190">
        <v>0</v>
      </c>
      <c r="AJ34" s="190">
        <v>259.23935190000026</v>
      </c>
      <c r="AK34" s="190">
        <v>0</v>
      </c>
      <c r="AL34" s="190">
        <v>0</v>
      </c>
      <c r="AM34" s="190">
        <v>0</v>
      </c>
      <c r="AN34" s="190">
        <v>0</v>
      </c>
      <c r="AO34" s="190">
        <v>0</v>
      </c>
      <c r="AP34" s="190">
        <v>0</v>
      </c>
      <c r="AQ34" s="190">
        <v>0</v>
      </c>
      <c r="AR34" s="190">
        <v>0</v>
      </c>
      <c r="AS34" s="189">
        <v>59642.48172413808</v>
      </c>
      <c r="AT34" s="189">
        <v>0</v>
      </c>
      <c r="AU34" s="190">
        <v>74396.10429447843</v>
      </c>
      <c r="AV34" s="190">
        <v>0</v>
      </c>
      <c r="AW34" s="190">
        <v>0</v>
      </c>
      <c r="AX34" s="190">
        <v>0</v>
      </c>
      <c r="AY34" s="190">
        <v>140000</v>
      </c>
      <c r="AZ34" s="191">
        <v>23280</v>
      </c>
      <c r="BA34" s="191">
        <v>0</v>
      </c>
      <c r="BB34" s="190">
        <v>0</v>
      </c>
      <c r="BC34" s="190">
        <v>0</v>
      </c>
      <c r="BD34" s="268">
        <v>0</v>
      </c>
      <c r="BE34" s="253">
        <v>1296769.8793242967</v>
      </c>
      <c r="BF34" s="190">
        <v>202671.5553705165</v>
      </c>
      <c r="BG34" s="190">
        <v>163280</v>
      </c>
      <c r="BH34" s="190">
        <v>74396.10429447843</v>
      </c>
      <c r="BI34" s="218">
        <f t="shared" si="0"/>
        <v>1662721.434694813</v>
      </c>
      <c r="BJ34" s="190">
        <v>1662721.4346948133</v>
      </c>
      <c r="BK34" s="190">
        <v>0</v>
      </c>
      <c r="BL34" s="190">
        <v>1499441.434694813</v>
      </c>
      <c r="BM34" s="190">
        <v>3684.131289176445</v>
      </c>
      <c r="BN34" s="190">
        <v>3682.2790434889434</v>
      </c>
      <c r="BO34" s="219">
        <v>0.0005030161119312243</v>
      </c>
      <c r="BP34" s="220">
        <v>0</v>
      </c>
      <c r="BQ34" s="268">
        <v>0</v>
      </c>
      <c r="BR34" s="266">
        <v>1662721.434694813</v>
      </c>
      <c r="BS34" s="238">
        <v>-891.3299999999999</v>
      </c>
      <c r="BT34" s="254">
        <v>-496.53999999999996</v>
      </c>
      <c r="BU34" s="272">
        <v>1661333.564694813</v>
      </c>
      <c r="BV34" s="10"/>
      <c r="BW34" s="228">
        <v>83111.59851957223</v>
      </c>
      <c r="BX34" s="188">
        <v>38157.183706941156</v>
      </c>
      <c r="BY34" s="188"/>
      <c r="BZ34" s="188"/>
      <c r="CA34" s="229">
        <v>41100</v>
      </c>
      <c r="CC34" s="235">
        <v>77880</v>
      </c>
      <c r="CD34" s="224">
        <v>4500</v>
      </c>
      <c r="CE34" s="224">
        <v>20700</v>
      </c>
      <c r="CF34" s="224">
        <v>20300</v>
      </c>
      <c r="CG34" s="224">
        <v>63583.49999999999</v>
      </c>
      <c r="CH34" s="224">
        <v>8914</v>
      </c>
      <c r="CI34" s="224"/>
      <c r="CJ34" s="229"/>
      <c r="CK34" s="2"/>
    </row>
    <row r="35" spans="1:89" ht="15">
      <c r="A35" s="243">
        <v>2080</v>
      </c>
      <c r="B35" s="196" t="s">
        <v>27</v>
      </c>
      <c r="C35" s="189">
        <v>372</v>
      </c>
      <c r="D35" s="189">
        <v>372</v>
      </c>
      <c r="E35" s="189">
        <v>0</v>
      </c>
      <c r="F35" s="189">
        <v>0</v>
      </c>
      <c r="G35" s="189">
        <v>0</v>
      </c>
      <c r="H35" s="189">
        <v>79.12958435207824</v>
      </c>
      <c r="I35" s="189">
        <v>0</v>
      </c>
      <c r="J35" s="189">
        <v>24.999999999999993</v>
      </c>
      <c r="K35" s="189">
        <v>13.000000000000007</v>
      </c>
      <c r="L35" s="189">
        <v>9.00000000000001</v>
      </c>
      <c r="M35" s="189">
        <v>9.00000000000001</v>
      </c>
      <c r="N35" s="189">
        <v>5.000000000000013</v>
      </c>
      <c r="O35" s="189">
        <v>0</v>
      </c>
      <c r="P35" s="189">
        <v>0</v>
      </c>
      <c r="Q35" s="189">
        <v>0</v>
      </c>
      <c r="R35" s="189">
        <v>0</v>
      </c>
      <c r="S35" s="189">
        <v>0</v>
      </c>
      <c r="T35" s="189">
        <v>0</v>
      </c>
      <c r="U35" s="189">
        <v>0</v>
      </c>
      <c r="V35" s="189">
        <v>65.1</v>
      </c>
      <c r="W35" s="189">
        <v>0</v>
      </c>
      <c r="X35" s="189">
        <v>146.31999999999988</v>
      </c>
      <c r="Y35" s="189">
        <v>0</v>
      </c>
      <c r="Z35" s="189">
        <v>8.800000000000137</v>
      </c>
      <c r="AA35" s="244">
        <v>0</v>
      </c>
      <c r="AB35" s="253">
        <v>1185254.0420359666</v>
      </c>
      <c r="AC35" s="190">
        <v>0</v>
      </c>
      <c r="AD35" s="190">
        <v>0</v>
      </c>
      <c r="AE35" s="190">
        <v>80119.49545232274</v>
      </c>
      <c r="AF35" s="190">
        <v>0</v>
      </c>
      <c r="AG35" s="190">
        <v>1620.2499999999995</v>
      </c>
      <c r="AH35" s="190">
        <v>1685.060000000001</v>
      </c>
      <c r="AI35" s="190">
        <v>1749.8700000000022</v>
      </c>
      <c r="AJ35" s="190">
        <v>2333.1541671000027</v>
      </c>
      <c r="AK35" s="190">
        <v>1620.245949375004</v>
      </c>
      <c r="AL35" s="190">
        <v>0</v>
      </c>
      <c r="AM35" s="190">
        <v>0</v>
      </c>
      <c r="AN35" s="190">
        <v>0</v>
      </c>
      <c r="AO35" s="190">
        <v>0</v>
      </c>
      <c r="AP35" s="190">
        <v>0</v>
      </c>
      <c r="AQ35" s="190">
        <v>0</v>
      </c>
      <c r="AR35" s="190">
        <v>0</v>
      </c>
      <c r="AS35" s="189">
        <v>48114.108</v>
      </c>
      <c r="AT35" s="189">
        <v>0</v>
      </c>
      <c r="AU35" s="190">
        <v>86328.79999999993</v>
      </c>
      <c r="AV35" s="190">
        <v>0</v>
      </c>
      <c r="AW35" s="190">
        <v>7040.00000000011</v>
      </c>
      <c r="AX35" s="190">
        <v>0</v>
      </c>
      <c r="AY35" s="190">
        <v>140000</v>
      </c>
      <c r="AZ35" s="191">
        <v>46250</v>
      </c>
      <c r="BA35" s="191">
        <v>-2195.69</v>
      </c>
      <c r="BB35" s="190">
        <v>0</v>
      </c>
      <c r="BC35" s="190">
        <v>0</v>
      </c>
      <c r="BD35" s="268">
        <v>0</v>
      </c>
      <c r="BE35" s="253">
        <v>1185254.0420359666</v>
      </c>
      <c r="BF35" s="190">
        <v>230610.9835687978</v>
      </c>
      <c r="BG35" s="190">
        <v>184054.31</v>
      </c>
      <c r="BH35" s="190">
        <v>86328.79999999993</v>
      </c>
      <c r="BI35" s="218">
        <f t="shared" si="0"/>
        <v>1599919.3356047645</v>
      </c>
      <c r="BJ35" s="190">
        <v>1599919.3356047645</v>
      </c>
      <c r="BK35" s="190">
        <v>0</v>
      </c>
      <c r="BL35" s="190">
        <v>1415865.0256047645</v>
      </c>
      <c r="BM35" s="190">
        <v>3806.0887785074315</v>
      </c>
      <c r="BN35" s="190">
        <v>3790.171007654321</v>
      </c>
      <c r="BO35" s="219">
        <v>0.004199750043194453</v>
      </c>
      <c r="BP35" s="220">
        <v>0</v>
      </c>
      <c r="BQ35" s="268">
        <v>0</v>
      </c>
      <c r="BR35" s="266">
        <v>1599919.3356047645</v>
      </c>
      <c r="BS35" s="238">
        <v>-814.68</v>
      </c>
      <c r="BT35" s="254">
        <v>-453.84</v>
      </c>
      <c r="BU35" s="272">
        <v>1598650.8156047645</v>
      </c>
      <c r="BV35" s="10"/>
      <c r="BW35" s="228">
        <v>147657.9563704154</v>
      </c>
      <c r="BX35" s="188">
        <v>0</v>
      </c>
      <c r="BY35" s="225"/>
      <c r="BZ35" s="188"/>
      <c r="CA35" s="229">
        <v>38767</v>
      </c>
      <c r="CC35" s="235">
        <v>112200</v>
      </c>
      <c r="CD35" s="224">
        <v>14700</v>
      </c>
      <c r="CE35" s="224">
        <v>13800</v>
      </c>
      <c r="CF35" s="224">
        <v>20510</v>
      </c>
      <c r="CG35" s="224">
        <v>61398.49999999999</v>
      </c>
      <c r="CH35" s="224">
        <v>9112</v>
      </c>
      <c r="CI35" s="224"/>
      <c r="CJ35" s="229"/>
      <c r="CK35" s="2"/>
    </row>
    <row r="36" spans="1:89" ht="15">
      <c r="A36" s="243">
        <v>2084</v>
      </c>
      <c r="B36" s="196" t="s">
        <v>29</v>
      </c>
      <c r="C36" s="189">
        <v>620</v>
      </c>
      <c r="D36" s="189">
        <v>620</v>
      </c>
      <c r="E36" s="189">
        <v>0</v>
      </c>
      <c r="F36" s="189">
        <v>0</v>
      </c>
      <c r="G36" s="189">
        <v>0</v>
      </c>
      <c r="H36" s="189">
        <v>217.81045751633985</v>
      </c>
      <c r="I36" s="189">
        <v>0</v>
      </c>
      <c r="J36" s="189">
        <v>44.999999999999986</v>
      </c>
      <c r="K36" s="189">
        <v>112.99999999999999</v>
      </c>
      <c r="L36" s="189">
        <v>115.00000000000003</v>
      </c>
      <c r="M36" s="189">
        <v>250.00000000000006</v>
      </c>
      <c r="N36" s="189">
        <v>13.999999999999986</v>
      </c>
      <c r="O36" s="189">
        <v>0</v>
      </c>
      <c r="P36" s="189">
        <v>0</v>
      </c>
      <c r="Q36" s="189">
        <v>0</v>
      </c>
      <c r="R36" s="189">
        <v>0</v>
      </c>
      <c r="S36" s="189">
        <v>0</v>
      </c>
      <c r="T36" s="189">
        <v>0</v>
      </c>
      <c r="U36" s="189">
        <v>0</v>
      </c>
      <c r="V36" s="189">
        <v>139.92660550458692</v>
      </c>
      <c r="W36" s="189">
        <v>0</v>
      </c>
      <c r="X36" s="189">
        <v>288.7671232876711</v>
      </c>
      <c r="Y36" s="189">
        <v>0</v>
      </c>
      <c r="Z36" s="189">
        <v>0</v>
      </c>
      <c r="AA36" s="244">
        <v>0</v>
      </c>
      <c r="AB36" s="253">
        <v>1975423.4033932777</v>
      </c>
      <c r="AC36" s="190">
        <v>0</v>
      </c>
      <c r="AD36" s="190">
        <v>0</v>
      </c>
      <c r="AE36" s="190">
        <v>220535.26633986927</v>
      </c>
      <c r="AF36" s="190">
        <v>0</v>
      </c>
      <c r="AG36" s="190">
        <v>2916.4499999999994</v>
      </c>
      <c r="AH36" s="190">
        <v>14647.06</v>
      </c>
      <c r="AI36" s="190">
        <v>22359.450000000008</v>
      </c>
      <c r="AJ36" s="190">
        <v>64809.83797500001</v>
      </c>
      <c r="AK36" s="190">
        <v>4536.688658249995</v>
      </c>
      <c r="AL36" s="190">
        <v>0</v>
      </c>
      <c r="AM36" s="190">
        <v>0</v>
      </c>
      <c r="AN36" s="190">
        <v>0</v>
      </c>
      <c r="AO36" s="190">
        <v>0</v>
      </c>
      <c r="AP36" s="190">
        <v>0</v>
      </c>
      <c r="AQ36" s="190">
        <v>0</v>
      </c>
      <c r="AR36" s="190">
        <v>0</v>
      </c>
      <c r="AS36" s="189">
        <v>103416.95559633011</v>
      </c>
      <c r="AT36" s="189">
        <v>0</v>
      </c>
      <c r="AU36" s="190">
        <v>170372.60273972596</v>
      </c>
      <c r="AV36" s="190">
        <v>0</v>
      </c>
      <c r="AW36" s="190">
        <v>0</v>
      </c>
      <c r="AX36" s="190">
        <v>0</v>
      </c>
      <c r="AY36" s="190">
        <v>140000</v>
      </c>
      <c r="AZ36" s="191">
        <v>72000</v>
      </c>
      <c r="BA36" s="191">
        <v>1872</v>
      </c>
      <c r="BB36" s="190">
        <v>0</v>
      </c>
      <c r="BC36" s="190">
        <v>0</v>
      </c>
      <c r="BD36" s="268">
        <v>0</v>
      </c>
      <c r="BE36" s="253">
        <v>1975423.4033932777</v>
      </c>
      <c r="BF36" s="190">
        <v>603594.3113091753</v>
      </c>
      <c r="BG36" s="190">
        <v>213872</v>
      </c>
      <c r="BH36" s="190">
        <v>170372.60273972596</v>
      </c>
      <c r="BI36" s="218">
        <f t="shared" si="0"/>
        <v>2792889.714702453</v>
      </c>
      <c r="BJ36" s="190">
        <v>2792889.7147024535</v>
      </c>
      <c r="BK36" s="190">
        <v>0</v>
      </c>
      <c r="BL36" s="190">
        <v>2579017.714702453</v>
      </c>
      <c r="BM36" s="190">
        <v>4159.705991455569</v>
      </c>
      <c r="BN36" s="190">
        <v>4152.109749514563</v>
      </c>
      <c r="BO36" s="219">
        <v>0.0018294896809734516</v>
      </c>
      <c r="BP36" s="220">
        <v>0</v>
      </c>
      <c r="BQ36" s="268">
        <v>0</v>
      </c>
      <c r="BR36" s="266">
        <v>2792889.714702453</v>
      </c>
      <c r="BS36" s="238">
        <v>-1357.8</v>
      </c>
      <c r="BT36" s="254">
        <v>-756.4</v>
      </c>
      <c r="BU36" s="272">
        <v>2790775.5147024533</v>
      </c>
      <c r="BV36" s="10"/>
      <c r="BW36" s="228">
        <v>211760.17434646538</v>
      </c>
      <c r="BX36" s="188">
        <v>65581.79808610989</v>
      </c>
      <c r="BY36" s="188"/>
      <c r="BZ36" s="188"/>
      <c r="CA36" s="229">
        <v>121184</v>
      </c>
      <c r="CC36" s="235">
        <v>271920</v>
      </c>
      <c r="CD36" s="224">
        <v>0</v>
      </c>
      <c r="CE36" s="224">
        <v>13800</v>
      </c>
      <c r="CF36" s="224">
        <v>22770</v>
      </c>
      <c r="CG36" s="224">
        <v>84996.5</v>
      </c>
      <c r="CH36" s="224">
        <v>11245</v>
      </c>
      <c r="CI36" s="224"/>
      <c r="CJ36" s="229"/>
      <c r="CK36" s="2"/>
    </row>
    <row r="37" spans="1:89" ht="15">
      <c r="A37" s="243">
        <v>3300</v>
      </c>
      <c r="B37" s="187" t="s">
        <v>98</v>
      </c>
      <c r="C37" s="189">
        <v>300</v>
      </c>
      <c r="D37" s="189">
        <v>300</v>
      </c>
      <c r="E37" s="189">
        <v>0</v>
      </c>
      <c r="F37" s="189">
        <v>0</v>
      </c>
      <c r="G37" s="189">
        <v>0</v>
      </c>
      <c r="H37" s="189">
        <v>49.25373134328358</v>
      </c>
      <c r="I37" s="189">
        <v>0</v>
      </c>
      <c r="J37" s="189">
        <v>36.9999999999999</v>
      </c>
      <c r="K37" s="189">
        <v>24</v>
      </c>
      <c r="L37" s="189">
        <v>2.000000000000001</v>
      </c>
      <c r="M37" s="189">
        <v>3.99999999999999</v>
      </c>
      <c r="N37" s="189">
        <v>0</v>
      </c>
      <c r="O37" s="189">
        <v>0</v>
      </c>
      <c r="P37" s="189">
        <v>0</v>
      </c>
      <c r="Q37" s="189">
        <v>0</v>
      </c>
      <c r="R37" s="189">
        <v>0</v>
      </c>
      <c r="S37" s="189">
        <v>0</v>
      </c>
      <c r="T37" s="189">
        <v>0</v>
      </c>
      <c r="U37" s="189">
        <v>0</v>
      </c>
      <c r="V37" s="189">
        <v>35.5555555555557</v>
      </c>
      <c r="W37" s="189">
        <v>0</v>
      </c>
      <c r="X37" s="189">
        <v>107.85123966942149</v>
      </c>
      <c r="Y37" s="189">
        <v>0</v>
      </c>
      <c r="Z37" s="189">
        <v>14.999999999999996</v>
      </c>
      <c r="AA37" s="244">
        <v>0</v>
      </c>
      <c r="AB37" s="253">
        <v>955850.0338999731</v>
      </c>
      <c r="AC37" s="190">
        <v>0</v>
      </c>
      <c r="AD37" s="190">
        <v>0</v>
      </c>
      <c r="AE37" s="190">
        <v>49869.89552238806</v>
      </c>
      <c r="AF37" s="190">
        <v>0</v>
      </c>
      <c r="AG37" s="190">
        <v>2397.9699999999934</v>
      </c>
      <c r="AH37" s="190">
        <v>3110.88</v>
      </c>
      <c r="AI37" s="190">
        <v>388.8600000000002</v>
      </c>
      <c r="AJ37" s="190">
        <v>1036.9574075999972</v>
      </c>
      <c r="AK37" s="190">
        <v>0</v>
      </c>
      <c r="AL37" s="190">
        <v>0</v>
      </c>
      <c r="AM37" s="190">
        <v>0</v>
      </c>
      <c r="AN37" s="190">
        <v>0</v>
      </c>
      <c r="AO37" s="190">
        <v>0</v>
      </c>
      <c r="AP37" s="190">
        <v>0</v>
      </c>
      <c r="AQ37" s="190">
        <v>0</v>
      </c>
      <c r="AR37" s="190">
        <v>0</v>
      </c>
      <c r="AS37" s="189">
        <v>26278.400000000107</v>
      </c>
      <c r="AT37" s="189">
        <v>0</v>
      </c>
      <c r="AU37" s="190">
        <v>63632.23140495868</v>
      </c>
      <c r="AV37" s="190">
        <v>0</v>
      </c>
      <c r="AW37" s="190">
        <v>11999.999999999996</v>
      </c>
      <c r="AX37" s="190">
        <v>0</v>
      </c>
      <c r="AY37" s="190">
        <v>140000</v>
      </c>
      <c r="AZ37" s="191">
        <v>5424</v>
      </c>
      <c r="BA37" s="191">
        <v>66.58</v>
      </c>
      <c r="BB37" s="190">
        <v>0</v>
      </c>
      <c r="BC37" s="190">
        <v>0</v>
      </c>
      <c r="BD37" s="268">
        <v>0</v>
      </c>
      <c r="BE37" s="253">
        <v>955850.0338999731</v>
      </c>
      <c r="BF37" s="190">
        <v>158715.19433494683</v>
      </c>
      <c r="BG37" s="190">
        <v>145490.58</v>
      </c>
      <c r="BH37" s="190">
        <v>63632.23140495868</v>
      </c>
      <c r="BI37" s="218">
        <f t="shared" si="0"/>
        <v>1260055.80823492</v>
      </c>
      <c r="BJ37" s="190">
        <v>1260055.80823492</v>
      </c>
      <c r="BK37" s="190">
        <v>0</v>
      </c>
      <c r="BL37" s="190">
        <v>1114565.22823492</v>
      </c>
      <c r="BM37" s="190">
        <v>3715.2174274497333</v>
      </c>
      <c r="BN37" s="190">
        <v>3630.997559880239</v>
      </c>
      <c r="BO37" s="219">
        <v>0.02319469131570341</v>
      </c>
      <c r="BP37" s="220">
        <v>0</v>
      </c>
      <c r="BQ37" s="268">
        <v>0</v>
      </c>
      <c r="BR37" s="266">
        <v>1260055.80823492</v>
      </c>
      <c r="BS37" s="238">
        <v>-657</v>
      </c>
      <c r="BT37" s="254">
        <v>-366</v>
      </c>
      <c r="BU37" s="272">
        <v>1259032.80823492</v>
      </c>
      <c r="BV37" s="10"/>
      <c r="BW37" s="228">
        <v>82885.17104880823</v>
      </c>
      <c r="BX37" s="188">
        <v>41326.064665385165</v>
      </c>
      <c r="BY37" s="188"/>
      <c r="BZ37" s="188"/>
      <c r="CA37" s="229">
        <v>79542</v>
      </c>
      <c r="CC37" s="235">
        <v>71280</v>
      </c>
      <c r="CD37" s="224">
        <v>8100</v>
      </c>
      <c r="CE37" s="224">
        <v>2300</v>
      </c>
      <c r="CF37" s="224">
        <v>19590</v>
      </c>
      <c r="CG37" s="224">
        <v>45448</v>
      </c>
      <c r="CH37" s="224"/>
      <c r="CI37" s="224"/>
      <c r="CJ37" s="229"/>
      <c r="CK37" s="2"/>
    </row>
    <row r="38" spans="1:89" ht="15">
      <c r="A38" s="243">
        <v>3302</v>
      </c>
      <c r="B38" s="187" t="s">
        <v>30</v>
      </c>
      <c r="C38" s="189">
        <v>203</v>
      </c>
      <c r="D38" s="189">
        <v>203</v>
      </c>
      <c r="E38" s="189">
        <v>0</v>
      </c>
      <c r="F38" s="189">
        <v>0</v>
      </c>
      <c r="G38" s="189">
        <v>0</v>
      </c>
      <c r="H38" s="189">
        <v>28</v>
      </c>
      <c r="I38" s="189">
        <v>0</v>
      </c>
      <c r="J38" s="189">
        <v>25.12376237623767</v>
      </c>
      <c r="K38" s="189">
        <v>7.034653465346544</v>
      </c>
      <c r="L38" s="189">
        <v>0</v>
      </c>
      <c r="M38" s="189">
        <v>0</v>
      </c>
      <c r="N38" s="189">
        <v>0</v>
      </c>
      <c r="O38" s="189">
        <v>0</v>
      </c>
      <c r="P38" s="189">
        <v>0</v>
      </c>
      <c r="Q38" s="189">
        <v>0</v>
      </c>
      <c r="R38" s="189">
        <v>0</v>
      </c>
      <c r="S38" s="189">
        <v>0</v>
      </c>
      <c r="T38" s="189">
        <v>0</v>
      </c>
      <c r="U38" s="189">
        <v>0</v>
      </c>
      <c r="V38" s="189">
        <v>23.468208092485554</v>
      </c>
      <c r="W38" s="189">
        <v>0</v>
      </c>
      <c r="X38" s="189">
        <v>54.21739130434785</v>
      </c>
      <c r="Y38" s="189">
        <v>0</v>
      </c>
      <c r="Z38" s="189">
        <v>0</v>
      </c>
      <c r="AA38" s="244">
        <v>0</v>
      </c>
      <c r="AB38" s="253">
        <v>646791.8562723151</v>
      </c>
      <c r="AC38" s="190">
        <v>0</v>
      </c>
      <c r="AD38" s="190">
        <v>0</v>
      </c>
      <c r="AE38" s="190">
        <v>28350.28</v>
      </c>
      <c r="AF38" s="190">
        <v>0</v>
      </c>
      <c r="AG38" s="190">
        <v>1628.2710396039636</v>
      </c>
      <c r="AH38" s="190">
        <v>911.8317821782191</v>
      </c>
      <c r="AI38" s="190">
        <v>0</v>
      </c>
      <c r="AJ38" s="190">
        <v>0</v>
      </c>
      <c r="AK38" s="190">
        <v>0</v>
      </c>
      <c r="AL38" s="190">
        <v>0</v>
      </c>
      <c r="AM38" s="190">
        <v>0</v>
      </c>
      <c r="AN38" s="190">
        <v>0</v>
      </c>
      <c r="AO38" s="190">
        <v>0</v>
      </c>
      <c r="AP38" s="190">
        <v>0</v>
      </c>
      <c r="AQ38" s="190">
        <v>0</v>
      </c>
      <c r="AR38" s="190">
        <v>0</v>
      </c>
      <c r="AS38" s="189">
        <v>17344.883236994225</v>
      </c>
      <c r="AT38" s="189">
        <v>0</v>
      </c>
      <c r="AU38" s="190">
        <v>31988.26086956523</v>
      </c>
      <c r="AV38" s="190">
        <v>0</v>
      </c>
      <c r="AW38" s="190">
        <v>0</v>
      </c>
      <c r="AX38" s="190">
        <v>0</v>
      </c>
      <c r="AY38" s="190">
        <v>140000</v>
      </c>
      <c r="AZ38" s="191">
        <v>2856</v>
      </c>
      <c r="BA38" s="191">
        <v>-439.86</v>
      </c>
      <c r="BB38" s="190">
        <v>0</v>
      </c>
      <c r="BC38" s="190">
        <v>0</v>
      </c>
      <c r="BD38" s="268">
        <v>0</v>
      </c>
      <c r="BE38" s="253">
        <v>646791.8562723151</v>
      </c>
      <c r="BF38" s="190">
        <v>80223.52692834163</v>
      </c>
      <c r="BG38" s="190">
        <v>142416.14</v>
      </c>
      <c r="BH38" s="190">
        <v>31988.26086956523</v>
      </c>
      <c r="BI38" s="218">
        <f t="shared" si="0"/>
        <v>869431.5232006568</v>
      </c>
      <c r="BJ38" s="190">
        <v>869431.5232006569</v>
      </c>
      <c r="BK38" s="190">
        <v>0</v>
      </c>
      <c r="BL38" s="190">
        <v>727015.3832006567</v>
      </c>
      <c r="BM38" s="190">
        <v>3581.35656749092</v>
      </c>
      <c r="BN38" s="190">
        <v>3527.142379710145</v>
      </c>
      <c r="BO38" s="219">
        <v>0.015370569697623066</v>
      </c>
      <c r="BP38" s="220">
        <v>0</v>
      </c>
      <c r="BQ38" s="268">
        <v>0</v>
      </c>
      <c r="BR38" s="266">
        <v>869431.5232006568</v>
      </c>
      <c r="BS38" s="238">
        <v>-444.57</v>
      </c>
      <c r="BT38" s="254">
        <v>-247.66</v>
      </c>
      <c r="BU38" s="272">
        <v>868739.2932006568</v>
      </c>
      <c r="BV38" s="10"/>
      <c r="BW38" s="228">
        <v>68109.88304122511</v>
      </c>
      <c r="BX38" s="188">
        <v>0</v>
      </c>
      <c r="BY38" s="188"/>
      <c r="BZ38" s="188"/>
      <c r="CA38" s="229">
        <v>27042</v>
      </c>
      <c r="CC38" s="235">
        <v>35640</v>
      </c>
      <c r="CD38" s="224">
        <v>300</v>
      </c>
      <c r="CE38" s="224">
        <v>13800</v>
      </c>
      <c r="CF38" s="224">
        <v>18270</v>
      </c>
      <c r="CG38" s="224">
        <v>31900.999999999996</v>
      </c>
      <c r="CH38" s="224"/>
      <c r="CI38" s="224"/>
      <c r="CJ38" s="229"/>
      <c r="CK38" s="2"/>
    </row>
    <row r="39" spans="1:89" ht="15">
      <c r="A39" s="243">
        <v>3307</v>
      </c>
      <c r="B39" s="196" t="s">
        <v>31</v>
      </c>
      <c r="C39" s="189">
        <v>416</v>
      </c>
      <c r="D39" s="189">
        <v>416</v>
      </c>
      <c r="E39" s="189">
        <v>0</v>
      </c>
      <c r="F39" s="189">
        <v>0</v>
      </c>
      <c r="G39" s="189">
        <v>0</v>
      </c>
      <c r="H39" s="189">
        <v>77.30073349633251</v>
      </c>
      <c r="I39" s="189">
        <v>0</v>
      </c>
      <c r="J39" s="189">
        <v>91</v>
      </c>
      <c r="K39" s="189">
        <v>116.00000000000007</v>
      </c>
      <c r="L39" s="189">
        <v>130.99999999999991</v>
      </c>
      <c r="M39" s="189">
        <v>22.000000000000007</v>
      </c>
      <c r="N39" s="189">
        <v>7.00000000000001</v>
      </c>
      <c r="O39" s="189">
        <v>0</v>
      </c>
      <c r="P39" s="189">
        <v>0</v>
      </c>
      <c r="Q39" s="189">
        <v>0</v>
      </c>
      <c r="R39" s="189">
        <v>0</v>
      </c>
      <c r="S39" s="189">
        <v>0</v>
      </c>
      <c r="T39" s="189">
        <v>0</v>
      </c>
      <c r="U39" s="189">
        <v>0</v>
      </c>
      <c r="V39" s="189">
        <v>120.57971014492749</v>
      </c>
      <c r="W39" s="189">
        <v>0</v>
      </c>
      <c r="X39" s="189">
        <v>182.37249283667606</v>
      </c>
      <c r="Y39" s="189">
        <v>0</v>
      </c>
      <c r="Z39" s="189">
        <v>0</v>
      </c>
      <c r="AA39" s="244">
        <v>0</v>
      </c>
      <c r="AB39" s="253">
        <v>1325445.380341296</v>
      </c>
      <c r="AC39" s="190">
        <v>0</v>
      </c>
      <c r="AD39" s="190">
        <v>0</v>
      </c>
      <c r="AE39" s="190">
        <v>78267.76567237164</v>
      </c>
      <c r="AF39" s="190">
        <v>0</v>
      </c>
      <c r="AG39" s="190">
        <v>5897.71</v>
      </c>
      <c r="AH39" s="190">
        <v>15035.92000000001</v>
      </c>
      <c r="AI39" s="190">
        <v>25470.329999999984</v>
      </c>
      <c r="AJ39" s="190">
        <v>5703.265741800002</v>
      </c>
      <c r="AK39" s="190">
        <v>2268.344329125003</v>
      </c>
      <c r="AL39" s="190">
        <v>0</v>
      </c>
      <c r="AM39" s="190">
        <v>0</v>
      </c>
      <c r="AN39" s="190">
        <v>0</v>
      </c>
      <c r="AO39" s="190">
        <v>0</v>
      </c>
      <c r="AP39" s="190">
        <v>0</v>
      </c>
      <c r="AQ39" s="190">
        <v>0</v>
      </c>
      <c r="AR39" s="190">
        <v>0</v>
      </c>
      <c r="AS39" s="189">
        <v>89118.05217391302</v>
      </c>
      <c r="AT39" s="189">
        <v>0</v>
      </c>
      <c r="AU39" s="190">
        <v>107599.77077363887</v>
      </c>
      <c r="AV39" s="190">
        <v>0</v>
      </c>
      <c r="AW39" s="190">
        <v>0</v>
      </c>
      <c r="AX39" s="190">
        <v>0</v>
      </c>
      <c r="AY39" s="190">
        <v>140000</v>
      </c>
      <c r="AZ39" s="191">
        <v>7008</v>
      </c>
      <c r="BA39" s="191">
        <v>-812.83</v>
      </c>
      <c r="BB39" s="190">
        <v>0</v>
      </c>
      <c r="BC39" s="190">
        <v>0</v>
      </c>
      <c r="BD39" s="268">
        <v>0</v>
      </c>
      <c r="BE39" s="253">
        <v>1325445.380341296</v>
      </c>
      <c r="BF39" s="190">
        <v>329361.15869084856</v>
      </c>
      <c r="BG39" s="190">
        <v>146195.17</v>
      </c>
      <c r="BH39" s="190">
        <v>107599.77077363887</v>
      </c>
      <c r="BI39" s="218">
        <f t="shared" si="0"/>
        <v>1801001.7090321446</v>
      </c>
      <c r="BJ39" s="190">
        <v>1801001.7090321446</v>
      </c>
      <c r="BK39" s="190">
        <v>0</v>
      </c>
      <c r="BL39" s="190">
        <v>1654806.5390321447</v>
      </c>
      <c r="BM39" s="190">
        <v>3977.9003342118863</v>
      </c>
      <c r="BN39" s="190">
        <v>3912.200058722359</v>
      </c>
      <c r="BO39" s="219">
        <v>0.016793690124063797</v>
      </c>
      <c r="BP39" s="220">
        <v>0</v>
      </c>
      <c r="BQ39" s="268">
        <v>0</v>
      </c>
      <c r="BR39" s="266">
        <v>1801001.7090321446</v>
      </c>
      <c r="BS39" s="238">
        <v>-911.04</v>
      </c>
      <c r="BT39" s="254">
        <v>-507.52</v>
      </c>
      <c r="BU39" s="272">
        <v>1799583.1490321446</v>
      </c>
      <c r="BV39" s="10"/>
      <c r="BW39" s="228">
        <v>151880.98543496075</v>
      </c>
      <c r="BX39" s="188">
        <v>38996.46923330073</v>
      </c>
      <c r="BY39" s="188"/>
      <c r="BZ39" s="188"/>
      <c r="CA39" s="229">
        <v>89859</v>
      </c>
      <c r="CC39" s="235">
        <v>95040</v>
      </c>
      <c r="CD39" s="224">
        <v>0</v>
      </c>
      <c r="CE39" s="224">
        <v>11500</v>
      </c>
      <c r="CF39" s="224">
        <v>20640</v>
      </c>
      <c r="CG39" s="224">
        <v>63146.49999999999</v>
      </c>
      <c r="CH39" s="224"/>
      <c r="CI39" s="224"/>
      <c r="CJ39" s="229"/>
      <c r="CK39" s="2"/>
    </row>
    <row r="40" spans="1:89" ht="15">
      <c r="A40" s="243">
        <v>3400</v>
      </c>
      <c r="B40" s="187" t="s">
        <v>155</v>
      </c>
      <c r="C40" s="189">
        <v>202</v>
      </c>
      <c r="D40" s="189">
        <v>202</v>
      </c>
      <c r="E40" s="189">
        <v>0</v>
      </c>
      <c r="F40" s="189">
        <v>0</v>
      </c>
      <c r="G40" s="189">
        <v>0</v>
      </c>
      <c r="H40" s="189">
        <v>9.000000000000009</v>
      </c>
      <c r="I40" s="189">
        <v>0</v>
      </c>
      <c r="J40" s="189">
        <v>21.000000000000007</v>
      </c>
      <c r="K40" s="189">
        <v>11.000000000000009</v>
      </c>
      <c r="L40" s="189">
        <v>6</v>
      </c>
      <c r="M40" s="189">
        <v>0.9999999999999999</v>
      </c>
      <c r="N40" s="189">
        <v>0</v>
      </c>
      <c r="O40" s="189">
        <v>0</v>
      </c>
      <c r="P40" s="189">
        <v>0</v>
      </c>
      <c r="Q40" s="189">
        <v>0</v>
      </c>
      <c r="R40" s="189">
        <v>0</v>
      </c>
      <c r="S40" s="189">
        <v>0</v>
      </c>
      <c r="T40" s="189">
        <v>0</v>
      </c>
      <c r="U40" s="189">
        <v>0</v>
      </c>
      <c r="V40" s="189">
        <v>27.011627906976713</v>
      </c>
      <c r="W40" s="189">
        <v>0</v>
      </c>
      <c r="X40" s="189">
        <v>40.163742690058456</v>
      </c>
      <c r="Y40" s="189">
        <v>0</v>
      </c>
      <c r="Z40" s="189">
        <v>0</v>
      </c>
      <c r="AA40" s="244">
        <v>0</v>
      </c>
      <c r="AB40" s="253">
        <v>643605.6894926486</v>
      </c>
      <c r="AC40" s="190">
        <v>0</v>
      </c>
      <c r="AD40" s="190">
        <v>0</v>
      </c>
      <c r="AE40" s="190">
        <v>9112.59000000001</v>
      </c>
      <c r="AF40" s="190">
        <v>0</v>
      </c>
      <c r="AG40" s="190">
        <v>1361.0100000000004</v>
      </c>
      <c r="AH40" s="190">
        <v>1425.8200000000013</v>
      </c>
      <c r="AI40" s="190">
        <v>1166.58</v>
      </c>
      <c r="AJ40" s="190">
        <v>259.2393518999999</v>
      </c>
      <c r="AK40" s="190">
        <v>0</v>
      </c>
      <c r="AL40" s="190">
        <v>0</v>
      </c>
      <c r="AM40" s="190">
        <v>0</v>
      </c>
      <c r="AN40" s="190">
        <v>0</v>
      </c>
      <c r="AO40" s="190">
        <v>0</v>
      </c>
      <c r="AP40" s="190">
        <v>0</v>
      </c>
      <c r="AQ40" s="190">
        <v>0</v>
      </c>
      <c r="AR40" s="190">
        <v>0</v>
      </c>
      <c r="AS40" s="189">
        <v>19963.75395348835</v>
      </c>
      <c r="AT40" s="189">
        <v>0</v>
      </c>
      <c r="AU40" s="190">
        <v>23696.60818713449</v>
      </c>
      <c r="AV40" s="190">
        <v>0</v>
      </c>
      <c r="AW40" s="190">
        <v>0</v>
      </c>
      <c r="AX40" s="190">
        <v>0</v>
      </c>
      <c r="AY40" s="190">
        <v>140000</v>
      </c>
      <c r="AZ40" s="191">
        <v>3384</v>
      </c>
      <c r="BA40" s="191">
        <v>91.65</v>
      </c>
      <c r="BB40" s="190">
        <v>0</v>
      </c>
      <c r="BC40" s="190">
        <v>0</v>
      </c>
      <c r="BD40" s="268">
        <v>0</v>
      </c>
      <c r="BE40" s="253">
        <v>643605.6894926486</v>
      </c>
      <c r="BF40" s="190">
        <v>56985.60149252285</v>
      </c>
      <c r="BG40" s="190">
        <v>143475.65</v>
      </c>
      <c r="BH40" s="190">
        <v>23696.60818713449</v>
      </c>
      <c r="BI40" s="218">
        <f t="shared" si="0"/>
        <v>844066.9409851715</v>
      </c>
      <c r="BJ40" s="190">
        <v>844066.9409851712</v>
      </c>
      <c r="BK40" s="190">
        <v>0</v>
      </c>
      <c r="BL40" s="190">
        <v>700591.2909851715</v>
      </c>
      <c r="BM40" s="190">
        <v>3468.2737177483737</v>
      </c>
      <c r="BN40" s="190">
        <v>3423.891033333334</v>
      </c>
      <c r="BO40" s="219">
        <v>0.01296264512595515</v>
      </c>
      <c r="BP40" s="220">
        <v>0</v>
      </c>
      <c r="BQ40" s="268">
        <v>0</v>
      </c>
      <c r="BR40" s="266">
        <v>844066.9409851715</v>
      </c>
      <c r="BS40" s="238">
        <v>-442.38</v>
      </c>
      <c r="BT40" s="254">
        <v>-246.44</v>
      </c>
      <c r="BU40" s="272">
        <v>843378.1209851715</v>
      </c>
      <c r="BV40" s="10"/>
      <c r="BW40" s="228">
        <v>59195.81178335323</v>
      </c>
      <c r="BX40" s="188">
        <v>0</v>
      </c>
      <c r="BY40" s="188"/>
      <c r="BZ40" s="188"/>
      <c r="CA40" s="229">
        <v>17916</v>
      </c>
      <c r="CC40" s="235">
        <v>7920</v>
      </c>
      <c r="CD40" s="224">
        <v>300</v>
      </c>
      <c r="CE40" s="224">
        <v>0</v>
      </c>
      <c r="CF40" s="224">
        <v>18270</v>
      </c>
      <c r="CG40" s="224">
        <v>29934.499999999996</v>
      </c>
      <c r="CH40" s="224"/>
      <c r="CI40" s="224"/>
      <c r="CJ40" s="229"/>
      <c r="CK40" s="2"/>
    </row>
    <row r="41" spans="1:89" ht="15">
      <c r="A41" s="243">
        <v>3401</v>
      </c>
      <c r="B41" s="187" t="s">
        <v>32</v>
      </c>
      <c r="C41" s="189">
        <v>625</v>
      </c>
      <c r="D41" s="189">
        <v>625</v>
      </c>
      <c r="E41" s="189">
        <v>0</v>
      </c>
      <c r="F41" s="189">
        <v>0</v>
      </c>
      <c r="G41" s="189">
        <v>0</v>
      </c>
      <c r="H41" s="189">
        <v>104</v>
      </c>
      <c r="I41" s="189">
        <v>0</v>
      </c>
      <c r="J41" s="189">
        <v>191.99999999999997</v>
      </c>
      <c r="K41" s="189">
        <v>115</v>
      </c>
      <c r="L41" s="189">
        <v>198.00000000000003</v>
      </c>
      <c r="M41" s="189">
        <v>33</v>
      </c>
      <c r="N41" s="189">
        <v>5.999999999999999</v>
      </c>
      <c r="O41" s="189">
        <v>0</v>
      </c>
      <c r="P41" s="189">
        <v>0</v>
      </c>
      <c r="Q41" s="189">
        <v>0</v>
      </c>
      <c r="R41" s="189">
        <v>0</v>
      </c>
      <c r="S41" s="189">
        <v>0</v>
      </c>
      <c r="T41" s="189">
        <v>0</v>
      </c>
      <c r="U41" s="189">
        <v>0</v>
      </c>
      <c r="V41" s="189">
        <v>218.05037313432814</v>
      </c>
      <c r="W41" s="189">
        <v>0</v>
      </c>
      <c r="X41" s="189">
        <v>293.52226720647747</v>
      </c>
      <c r="Y41" s="189">
        <v>0</v>
      </c>
      <c r="Z41" s="189">
        <v>0</v>
      </c>
      <c r="AA41" s="244">
        <v>0</v>
      </c>
      <c r="AB41" s="253">
        <v>1991354.2372916106</v>
      </c>
      <c r="AC41" s="190">
        <v>0</v>
      </c>
      <c r="AD41" s="190">
        <v>0</v>
      </c>
      <c r="AE41" s="190">
        <v>105301.04</v>
      </c>
      <c r="AF41" s="190">
        <v>0</v>
      </c>
      <c r="AG41" s="190">
        <v>12443.519999999999</v>
      </c>
      <c r="AH41" s="190">
        <v>14906.300000000001</v>
      </c>
      <c r="AI41" s="190">
        <v>38497.14000000001</v>
      </c>
      <c r="AJ41" s="190">
        <v>8554.898612699999</v>
      </c>
      <c r="AK41" s="190">
        <v>1944.2951392499995</v>
      </c>
      <c r="AL41" s="190">
        <v>0</v>
      </c>
      <c r="AM41" s="190">
        <v>0</v>
      </c>
      <c r="AN41" s="190">
        <v>0</v>
      </c>
      <c r="AO41" s="190">
        <v>0</v>
      </c>
      <c r="AP41" s="190">
        <v>0</v>
      </c>
      <c r="AQ41" s="190">
        <v>0</v>
      </c>
      <c r="AR41" s="190">
        <v>0</v>
      </c>
      <c r="AS41" s="189">
        <v>161156.66977611926</v>
      </c>
      <c r="AT41" s="189">
        <v>0</v>
      </c>
      <c r="AU41" s="190">
        <v>173178.13765182171</v>
      </c>
      <c r="AV41" s="190">
        <v>0</v>
      </c>
      <c r="AW41" s="190">
        <v>0</v>
      </c>
      <c r="AX41" s="190">
        <v>0</v>
      </c>
      <c r="AY41" s="190">
        <v>140000</v>
      </c>
      <c r="AZ41" s="191">
        <v>10400</v>
      </c>
      <c r="BA41" s="191">
        <v>270.4</v>
      </c>
      <c r="BB41" s="190">
        <v>0</v>
      </c>
      <c r="BC41" s="190">
        <v>0</v>
      </c>
      <c r="BD41" s="268">
        <v>0</v>
      </c>
      <c r="BE41" s="253">
        <v>1991354.2372916106</v>
      </c>
      <c r="BF41" s="190">
        <v>515982.00117989094</v>
      </c>
      <c r="BG41" s="190">
        <v>150670.4</v>
      </c>
      <c r="BH41" s="190">
        <v>173178.13765182171</v>
      </c>
      <c r="BI41" s="218">
        <f t="shared" si="0"/>
        <v>2658006.6384715014</v>
      </c>
      <c r="BJ41" s="190">
        <v>2658006.638471501</v>
      </c>
      <c r="BK41" s="190">
        <v>0</v>
      </c>
      <c r="BL41" s="190">
        <v>2507336.2384715015</v>
      </c>
      <c r="BM41" s="190">
        <v>4011.7379815544023</v>
      </c>
      <c r="BN41" s="190">
        <v>3977.707548214285</v>
      </c>
      <c r="BO41" s="219">
        <v>0.008555287920901721</v>
      </c>
      <c r="BP41" s="220">
        <v>0</v>
      </c>
      <c r="BQ41" s="268">
        <v>0</v>
      </c>
      <c r="BR41" s="266">
        <v>2658006.6384715014</v>
      </c>
      <c r="BS41" s="238">
        <v>-1368.75</v>
      </c>
      <c r="BT41" s="254">
        <v>-762.5</v>
      </c>
      <c r="BU41" s="272">
        <v>2655875.3884715014</v>
      </c>
      <c r="BV41" s="10"/>
      <c r="BW41" s="228">
        <v>240611.52483681485</v>
      </c>
      <c r="BX41" s="188">
        <v>0</v>
      </c>
      <c r="BY41" s="188"/>
      <c r="BZ41" s="188"/>
      <c r="CA41" s="229">
        <v>67184</v>
      </c>
      <c r="CC41" s="235">
        <v>134640</v>
      </c>
      <c r="CD41" s="224">
        <v>0</v>
      </c>
      <c r="CE41" s="224">
        <v>0</v>
      </c>
      <c r="CF41" s="224">
        <v>22850</v>
      </c>
      <c r="CG41" s="224">
        <v>83685.5</v>
      </c>
      <c r="CH41" s="224"/>
      <c r="CI41" s="224"/>
      <c r="CJ41" s="229"/>
      <c r="CK41" s="2"/>
    </row>
    <row r="42" spans="1:89" ht="15">
      <c r="A42" s="243">
        <v>3402</v>
      </c>
      <c r="B42" s="196" t="s">
        <v>33</v>
      </c>
      <c r="C42" s="189">
        <v>412</v>
      </c>
      <c r="D42" s="189">
        <v>412</v>
      </c>
      <c r="E42" s="189">
        <v>0</v>
      </c>
      <c r="F42" s="189">
        <v>0</v>
      </c>
      <c r="G42" s="189">
        <v>0</v>
      </c>
      <c r="H42" s="189">
        <v>31.227383863080686</v>
      </c>
      <c r="I42" s="189">
        <v>0</v>
      </c>
      <c r="J42" s="189">
        <v>110.99999999999986</v>
      </c>
      <c r="K42" s="189">
        <v>69.00000000000009</v>
      </c>
      <c r="L42" s="189">
        <v>55.00000000000002</v>
      </c>
      <c r="M42" s="189">
        <v>5.000000000000005</v>
      </c>
      <c r="N42" s="189">
        <v>2.999999999999999</v>
      </c>
      <c r="O42" s="189">
        <v>0</v>
      </c>
      <c r="P42" s="189">
        <v>0</v>
      </c>
      <c r="Q42" s="189">
        <v>0</v>
      </c>
      <c r="R42" s="189">
        <v>0</v>
      </c>
      <c r="S42" s="189">
        <v>0</v>
      </c>
      <c r="T42" s="189">
        <v>0</v>
      </c>
      <c r="U42" s="189">
        <v>0</v>
      </c>
      <c r="V42" s="189">
        <v>56.18181818181803</v>
      </c>
      <c r="W42" s="189">
        <v>0</v>
      </c>
      <c r="X42" s="189">
        <v>117.372093023256</v>
      </c>
      <c r="Y42" s="189">
        <v>0</v>
      </c>
      <c r="Z42" s="189">
        <v>0</v>
      </c>
      <c r="AA42" s="244">
        <v>0</v>
      </c>
      <c r="AB42" s="253">
        <v>1312700.7132226296</v>
      </c>
      <c r="AC42" s="190">
        <v>0</v>
      </c>
      <c r="AD42" s="190">
        <v>0</v>
      </c>
      <c r="AE42" s="190">
        <v>31618.038435207825</v>
      </c>
      <c r="AF42" s="190">
        <v>0</v>
      </c>
      <c r="AG42" s="190">
        <v>7193.909999999991</v>
      </c>
      <c r="AH42" s="190">
        <v>8943.780000000012</v>
      </c>
      <c r="AI42" s="190">
        <v>10693.650000000005</v>
      </c>
      <c r="AJ42" s="190">
        <v>1296.1967595000012</v>
      </c>
      <c r="AK42" s="190">
        <v>972.1475696249996</v>
      </c>
      <c r="AL42" s="190">
        <v>0</v>
      </c>
      <c r="AM42" s="190">
        <v>0</v>
      </c>
      <c r="AN42" s="190">
        <v>0</v>
      </c>
      <c r="AO42" s="190">
        <v>0</v>
      </c>
      <c r="AP42" s="190">
        <v>0</v>
      </c>
      <c r="AQ42" s="190">
        <v>0</v>
      </c>
      <c r="AR42" s="190">
        <v>0</v>
      </c>
      <c r="AS42" s="189">
        <v>41522.858181818076</v>
      </c>
      <c r="AT42" s="189">
        <v>0</v>
      </c>
      <c r="AU42" s="190">
        <v>69249.53488372103</v>
      </c>
      <c r="AV42" s="190">
        <v>0</v>
      </c>
      <c r="AW42" s="190">
        <v>0</v>
      </c>
      <c r="AX42" s="190">
        <v>0</v>
      </c>
      <c r="AY42" s="190">
        <v>140000</v>
      </c>
      <c r="AZ42" s="191">
        <v>4416</v>
      </c>
      <c r="BA42" s="191">
        <v>119.6</v>
      </c>
      <c r="BB42" s="190">
        <v>0</v>
      </c>
      <c r="BC42" s="190">
        <v>0</v>
      </c>
      <c r="BD42" s="268">
        <v>0</v>
      </c>
      <c r="BE42" s="253">
        <v>1312700.7132226296</v>
      </c>
      <c r="BF42" s="190">
        <v>171490.11582987194</v>
      </c>
      <c r="BG42" s="190">
        <v>144535.6</v>
      </c>
      <c r="BH42" s="190">
        <v>69249.53488372103</v>
      </c>
      <c r="BI42" s="218">
        <f t="shared" si="0"/>
        <v>1628726.4290525017</v>
      </c>
      <c r="BJ42" s="190">
        <v>1628726.4290525017</v>
      </c>
      <c r="BK42" s="190">
        <v>0</v>
      </c>
      <c r="BL42" s="190">
        <v>1484190.8290525016</v>
      </c>
      <c r="BM42" s="190">
        <v>3602.4049248847127</v>
      </c>
      <c r="BN42" s="190">
        <v>3569.4781553658536</v>
      </c>
      <c r="BO42" s="219">
        <v>0.009224533135007887</v>
      </c>
      <c r="BP42" s="220">
        <v>0</v>
      </c>
      <c r="BQ42" s="268">
        <v>0</v>
      </c>
      <c r="BR42" s="266">
        <v>1628726.4290525017</v>
      </c>
      <c r="BS42" s="238">
        <v>-902.28</v>
      </c>
      <c r="BT42" s="254">
        <v>-502.64</v>
      </c>
      <c r="BU42" s="272">
        <v>1627321.5090525018</v>
      </c>
      <c r="BV42" s="10"/>
      <c r="BW42" s="228">
        <v>132656.28329533225</v>
      </c>
      <c r="BX42" s="188">
        <v>109255.74686816044</v>
      </c>
      <c r="BY42" s="188"/>
      <c r="BZ42" s="188"/>
      <c r="CA42" s="229">
        <v>39342</v>
      </c>
      <c r="CC42" s="235">
        <v>39600</v>
      </c>
      <c r="CD42" s="224">
        <v>1200</v>
      </c>
      <c r="CE42" s="224">
        <v>4600</v>
      </c>
      <c r="CF42" s="224">
        <v>20590</v>
      </c>
      <c r="CG42" s="224">
        <v>62053.99999999999</v>
      </c>
      <c r="CH42" s="224"/>
      <c r="CI42" s="224"/>
      <c r="CJ42" s="229"/>
      <c r="CK42" s="2"/>
    </row>
    <row r="43" spans="1:89" ht="15">
      <c r="A43" s="243">
        <v>3403</v>
      </c>
      <c r="B43" s="196" t="s">
        <v>34</v>
      </c>
      <c r="C43" s="189">
        <v>206</v>
      </c>
      <c r="D43" s="189">
        <v>206</v>
      </c>
      <c r="E43" s="189">
        <v>0</v>
      </c>
      <c r="F43" s="189">
        <v>0</v>
      </c>
      <c r="G43" s="189">
        <v>0</v>
      </c>
      <c r="H43" s="189">
        <v>42</v>
      </c>
      <c r="I43" s="189">
        <v>0</v>
      </c>
      <c r="J43" s="189">
        <v>11.000000000000004</v>
      </c>
      <c r="K43" s="189">
        <v>33.99999999999992</v>
      </c>
      <c r="L43" s="189">
        <v>38.00000000000006</v>
      </c>
      <c r="M43" s="189">
        <v>38.00000000000006</v>
      </c>
      <c r="N43" s="189">
        <v>27.999999999999925</v>
      </c>
      <c r="O43" s="189">
        <v>0</v>
      </c>
      <c r="P43" s="189">
        <v>0</v>
      </c>
      <c r="Q43" s="189">
        <v>0</v>
      </c>
      <c r="R43" s="189">
        <v>0</v>
      </c>
      <c r="S43" s="189">
        <v>0</v>
      </c>
      <c r="T43" s="189">
        <v>0</v>
      </c>
      <c r="U43" s="189">
        <v>0</v>
      </c>
      <c r="V43" s="189">
        <v>48.82080924855487</v>
      </c>
      <c r="W43" s="189">
        <v>0</v>
      </c>
      <c r="X43" s="189">
        <v>90.04790419161677</v>
      </c>
      <c r="Y43" s="189">
        <v>0</v>
      </c>
      <c r="Z43" s="189">
        <v>0</v>
      </c>
      <c r="AA43" s="244">
        <v>0</v>
      </c>
      <c r="AB43" s="253">
        <v>656350.3566113148</v>
      </c>
      <c r="AC43" s="190">
        <v>0</v>
      </c>
      <c r="AD43" s="190">
        <v>0</v>
      </c>
      <c r="AE43" s="190">
        <v>42525.42</v>
      </c>
      <c r="AF43" s="190">
        <v>0</v>
      </c>
      <c r="AG43" s="190">
        <v>712.9100000000003</v>
      </c>
      <c r="AH43" s="190">
        <v>4407.07999999999</v>
      </c>
      <c r="AI43" s="190">
        <v>7388.340000000011</v>
      </c>
      <c r="AJ43" s="190">
        <v>9851.095372200014</v>
      </c>
      <c r="AK43" s="190">
        <v>9073.377316499975</v>
      </c>
      <c r="AL43" s="190">
        <v>0</v>
      </c>
      <c r="AM43" s="190">
        <v>0</v>
      </c>
      <c r="AN43" s="190">
        <v>0</v>
      </c>
      <c r="AO43" s="190">
        <v>0</v>
      </c>
      <c r="AP43" s="190">
        <v>0</v>
      </c>
      <c r="AQ43" s="190">
        <v>0</v>
      </c>
      <c r="AR43" s="190">
        <v>0</v>
      </c>
      <c r="AS43" s="189">
        <v>36082.48369942194</v>
      </c>
      <c r="AT43" s="189">
        <v>0</v>
      </c>
      <c r="AU43" s="190">
        <v>53128.26347305389</v>
      </c>
      <c r="AV43" s="190">
        <v>0</v>
      </c>
      <c r="AW43" s="190">
        <v>0</v>
      </c>
      <c r="AX43" s="190">
        <v>0</v>
      </c>
      <c r="AY43" s="190">
        <v>140000</v>
      </c>
      <c r="AZ43" s="191">
        <v>3336</v>
      </c>
      <c r="BA43" s="191">
        <v>90.35</v>
      </c>
      <c r="BB43" s="190">
        <v>0</v>
      </c>
      <c r="BC43" s="190">
        <v>0</v>
      </c>
      <c r="BD43" s="268">
        <v>0</v>
      </c>
      <c r="BE43" s="253">
        <v>656350.3566113148</v>
      </c>
      <c r="BF43" s="190">
        <v>163168.9698611758</v>
      </c>
      <c r="BG43" s="190">
        <v>143426.35</v>
      </c>
      <c r="BH43" s="190">
        <v>53128.26347305389</v>
      </c>
      <c r="BI43" s="218">
        <f t="shared" si="0"/>
        <v>962945.6764724905</v>
      </c>
      <c r="BJ43" s="190">
        <v>962945.6764724907</v>
      </c>
      <c r="BK43" s="190">
        <v>0</v>
      </c>
      <c r="BL43" s="190">
        <v>819519.3264724906</v>
      </c>
      <c r="BM43" s="190">
        <v>3978.249157633449</v>
      </c>
      <c r="BN43" s="190">
        <v>3930.282085238095</v>
      </c>
      <c r="BO43" s="219">
        <v>0.01220448592621775</v>
      </c>
      <c r="BP43" s="220">
        <v>0</v>
      </c>
      <c r="BQ43" s="268">
        <v>0</v>
      </c>
      <c r="BR43" s="266">
        <v>962945.6764724905</v>
      </c>
      <c r="BS43" s="238">
        <v>-451.14</v>
      </c>
      <c r="BT43" s="254">
        <v>-251.32</v>
      </c>
      <c r="BU43" s="272">
        <v>962243.2164724906</v>
      </c>
      <c r="BV43" s="10"/>
      <c r="BW43" s="228">
        <v>90324.65319327182</v>
      </c>
      <c r="BX43" s="188">
        <v>29702.914800095154</v>
      </c>
      <c r="BY43" s="188"/>
      <c r="BZ43" s="188"/>
      <c r="CA43" s="229">
        <v>20309</v>
      </c>
      <c r="CC43" s="235">
        <v>55440</v>
      </c>
      <c r="CD43" s="224">
        <v>600</v>
      </c>
      <c r="CE43" s="224">
        <v>0</v>
      </c>
      <c r="CF43" s="224">
        <v>18390</v>
      </c>
      <c r="CG43" s="224">
        <v>31245.499999999996</v>
      </c>
      <c r="CH43" s="224"/>
      <c r="CI43" s="224"/>
      <c r="CJ43" s="229"/>
      <c r="CK43" s="2"/>
    </row>
    <row r="44" spans="1:89" ht="15">
      <c r="A44" s="243">
        <v>3404</v>
      </c>
      <c r="B44" s="196" t="s">
        <v>35</v>
      </c>
      <c r="C44" s="189">
        <v>211</v>
      </c>
      <c r="D44" s="189">
        <v>211</v>
      </c>
      <c r="E44" s="189">
        <v>0</v>
      </c>
      <c r="F44" s="189">
        <v>0</v>
      </c>
      <c r="G44" s="189">
        <v>0</v>
      </c>
      <c r="H44" s="189">
        <v>16.076190476190476</v>
      </c>
      <c r="I44" s="189">
        <v>0</v>
      </c>
      <c r="J44" s="189">
        <v>45.00000000000004</v>
      </c>
      <c r="K44" s="189">
        <v>54.00000000000006</v>
      </c>
      <c r="L44" s="189">
        <v>41.00000000000004</v>
      </c>
      <c r="M44" s="189">
        <v>0</v>
      </c>
      <c r="N44" s="189">
        <v>1.0000000000000009</v>
      </c>
      <c r="O44" s="189">
        <v>0</v>
      </c>
      <c r="P44" s="189">
        <v>0</v>
      </c>
      <c r="Q44" s="189">
        <v>0</v>
      </c>
      <c r="R44" s="189">
        <v>0</v>
      </c>
      <c r="S44" s="189">
        <v>0</v>
      </c>
      <c r="T44" s="189">
        <v>0</v>
      </c>
      <c r="U44" s="189">
        <v>0</v>
      </c>
      <c r="V44" s="189">
        <v>56.26666666666674</v>
      </c>
      <c r="W44" s="189">
        <v>0</v>
      </c>
      <c r="X44" s="189">
        <v>64.27011494252868</v>
      </c>
      <c r="Y44" s="189">
        <v>0</v>
      </c>
      <c r="Z44" s="189">
        <v>0</v>
      </c>
      <c r="AA44" s="244">
        <v>0</v>
      </c>
      <c r="AB44" s="253">
        <v>672281.1905096477</v>
      </c>
      <c r="AC44" s="190">
        <v>0</v>
      </c>
      <c r="AD44" s="190">
        <v>0</v>
      </c>
      <c r="AE44" s="190">
        <v>16277.303619047618</v>
      </c>
      <c r="AF44" s="190">
        <v>0</v>
      </c>
      <c r="AG44" s="190">
        <v>2916.450000000003</v>
      </c>
      <c r="AH44" s="190">
        <v>6999.480000000008</v>
      </c>
      <c r="AI44" s="190">
        <v>7971.630000000008</v>
      </c>
      <c r="AJ44" s="190">
        <v>0</v>
      </c>
      <c r="AK44" s="190">
        <v>324.04918987500025</v>
      </c>
      <c r="AL44" s="190">
        <v>0</v>
      </c>
      <c r="AM44" s="190">
        <v>0</v>
      </c>
      <c r="AN44" s="190">
        <v>0</v>
      </c>
      <c r="AO44" s="190">
        <v>0</v>
      </c>
      <c r="AP44" s="190">
        <v>0</v>
      </c>
      <c r="AQ44" s="190">
        <v>0</v>
      </c>
      <c r="AR44" s="190">
        <v>0</v>
      </c>
      <c r="AS44" s="189">
        <v>41585.56800000006</v>
      </c>
      <c r="AT44" s="189">
        <v>0</v>
      </c>
      <c r="AU44" s="190">
        <v>37919.36781609192</v>
      </c>
      <c r="AV44" s="190">
        <v>0</v>
      </c>
      <c r="AW44" s="190">
        <v>0</v>
      </c>
      <c r="AX44" s="190">
        <v>0</v>
      </c>
      <c r="AY44" s="190">
        <v>140000</v>
      </c>
      <c r="AZ44" s="191">
        <v>3974.7</v>
      </c>
      <c r="BA44" s="191">
        <v>1327.48</v>
      </c>
      <c r="BB44" s="190">
        <v>0</v>
      </c>
      <c r="BC44" s="190">
        <v>0</v>
      </c>
      <c r="BD44" s="268">
        <v>0</v>
      </c>
      <c r="BE44" s="253">
        <v>672281.1905096477</v>
      </c>
      <c r="BF44" s="190">
        <v>113993.84862501462</v>
      </c>
      <c r="BG44" s="190">
        <v>145302.18000000002</v>
      </c>
      <c r="BH44" s="190">
        <v>37919.36781609192</v>
      </c>
      <c r="BI44" s="218">
        <f t="shared" si="0"/>
        <v>931577.2191346624</v>
      </c>
      <c r="BJ44" s="190">
        <v>931577.2191346623</v>
      </c>
      <c r="BK44" s="190">
        <v>0</v>
      </c>
      <c r="BL44" s="190">
        <v>786275.0391346622</v>
      </c>
      <c r="BM44" s="190">
        <v>3726.4219864202</v>
      </c>
      <c r="BN44" s="190">
        <v>3704.27658</v>
      </c>
      <c r="BO44" s="219">
        <v>0.00597833502491864</v>
      </c>
      <c r="BP44" s="220">
        <v>0</v>
      </c>
      <c r="BQ44" s="268">
        <v>0</v>
      </c>
      <c r="BR44" s="266">
        <v>931577.2191346623</v>
      </c>
      <c r="BS44" s="238">
        <v>-462.09</v>
      </c>
      <c r="BT44" s="254">
        <v>-257.42</v>
      </c>
      <c r="BU44" s="272">
        <v>930857.7091346623</v>
      </c>
      <c r="BV44" s="10"/>
      <c r="BW44" s="228">
        <v>116791.78248451458</v>
      </c>
      <c r="BX44" s="188">
        <v>0</v>
      </c>
      <c r="BY44" s="188"/>
      <c r="BZ44" s="188"/>
      <c r="CA44" s="229">
        <v>53642</v>
      </c>
      <c r="CC44" s="235">
        <v>21120</v>
      </c>
      <c r="CD44" s="224">
        <v>2700</v>
      </c>
      <c r="CE44" s="224">
        <v>4600</v>
      </c>
      <c r="CF44" s="224">
        <v>18330</v>
      </c>
      <c r="CG44" s="224">
        <v>35615.5</v>
      </c>
      <c r="CH44" s="224"/>
      <c r="CI44" s="224"/>
      <c r="CJ44" s="229"/>
      <c r="CK44" s="2"/>
    </row>
    <row r="45" spans="1:89" ht="15">
      <c r="A45" s="243">
        <v>3405</v>
      </c>
      <c r="B45" s="196" t="s">
        <v>36</v>
      </c>
      <c r="C45" s="189">
        <v>615</v>
      </c>
      <c r="D45" s="189">
        <v>615</v>
      </c>
      <c r="E45" s="189">
        <v>0</v>
      </c>
      <c r="F45" s="189">
        <v>0</v>
      </c>
      <c r="G45" s="189">
        <v>0</v>
      </c>
      <c r="H45" s="189">
        <v>40.53858520900321</v>
      </c>
      <c r="I45" s="189">
        <v>0</v>
      </c>
      <c r="J45" s="189">
        <v>52.00000000000001</v>
      </c>
      <c r="K45" s="189">
        <v>41.000000000000014</v>
      </c>
      <c r="L45" s="189">
        <v>5.000000000000002</v>
      </c>
      <c r="M45" s="189">
        <v>0.9999999999999991</v>
      </c>
      <c r="N45" s="189">
        <v>2.999999999999997</v>
      </c>
      <c r="O45" s="189">
        <v>0</v>
      </c>
      <c r="P45" s="189">
        <v>0</v>
      </c>
      <c r="Q45" s="189">
        <v>0</v>
      </c>
      <c r="R45" s="189">
        <v>0</v>
      </c>
      <c r="S45" s="189">
        <v>0</v>
      </c>
      <c r="T45" s="189">
        <v>0</v>
      </c>
      <c r="U45" s="189">
        <v>0</v>
      </c>
      <c r="V45" s="189">
        <v>56.33587786259542</v>
      </c>
      <c r="W45" s="189">
        <v>0</v>
      </c>
      <c r="X45" s="189">
        <v>180.671206225681</v>
      </c>
      <c r="Y45" s="189">
        <v>0</v>
      </c>
      <c r="Z45" s="189">
        <v>0</v>
      </c>
      <c r="AA45" s="244">
        <v>0</v>
      </c>
      <c r="AB45" s="253">
        <v>1959492.5694949448</v>
      </c>
      <c r="AC45" s="190">
        <v>0</v>
      </c>
      <c r="AD45" s="190">
        <v>0</v>
      </c>
      <c r="AE45" s="190">
        <v>41045.72290996784</v>
      </c>
      <c r="AF45" s="190">
        <v>0</v>
      </c>
      <c r="AG45" s="190">
        <v>3370.120000000001</v>
      </c>
      <c r="AH45" s="190">
        <v>5314.420000000002</v>
      </c>
      <c r="AI45" s="190">
        <v>972.1500000000004</v>
      </c>
      <c r="AJ45" s="190">
        <v>259.23935189999975</v>
      </c>
      <c r="AK45" s="190">
        <v>972.1475696249989</v>
      </c>
      <c r="AL45" s="190">
        <v>0</v>
      </c>
      <c r="AM45" s="190">
        <v>0</v>
      </c>
      <c r="AN45" s="190">
        <v>0</v>
      </c>
      <c r="AO45" s="190">
        <v>0</v>
      </c>
      <c r="AP45" s="190">
        <v>0</v>
      </c>
      <c r="AQ45" s="190">
        <v>0</v>
      </c>
      <c r="AR45" s="190">
        <v>0</v>
      </c>
      <c r="AS45" s="189">
        <v>41636.72061068702</v>
      </c>
      <c r="AT45" s="189">
        <v>0</v>
      </c>
      <c r="AU45" s="190">
        <v>106596.01167315179</v>
      </c>
      <c r="AV45" s="190">
        <v>0</v>
      </c>
      <c r="AW45" s="190">
        <v>0</v>
      </c>
      <c r="AX45" s="190">
        <v>0</v>
      </c>
      <c r="AY45" s="190">
        <v>140000</v>
      </c>
      <c r="AZ45" s="191">
        <v>20200</v>
      </c>
      <c r="BA45" s="191">
        <v>6487.19</v>
      </c>
      <c r="BB45" s="190">
        <v>0</v>
      </c>
      <c r="BC45" s="190">
        <v>0</v>
      </c>
      <c r="BD45" s="268">
        <v>0</v>
      </c>
      <c r="BE45" s="253">
        <v>1959492.5694949448</v>
      </c>
      <c r="BF45" s="190">
        <v>200166.53211533168</v>
      </c>
      <c r="BG45" s="190">
        <v>166687.19</v>
      </c>
      <c r="BH45" s="190">
        <v>106596.01167315179</v>
      </c>
      <c r="BI45" s="218">
        <f t="shared" si="0"/>
        <v>2326346.2916102763</v>
      </c>
      <c r="BJ45" s="190">
        <v>2326346.2916102763</v>
      </c>
      <c r="BK45" s="190">
        <v>0</v>
      </c>
      <c r="BL45" s="190">
        <v>2159659.1016102764</v>
      </c>
      <c r="BM45" s="190">
        <v>3511.6408156264656</v>
      </c>
      <c r="BN45" s="190">
        <v>3501.839048225807</v>
      </c>
      <c r="BO45" s="219">
        <v>0.0027990342404870796</v>
      </c>
      <c r="BP45" s="220">
        <v>0</v>
      </c>
      <c r="BQ45" s="268">
        <v>0</v>
      </c>
      <c r="BR45" s="266">
        <v>2326346.2916102763</v>
      </c>
      <c r="BS45" s="238">
        <v>-1346.85</v>
      </c>
      <c r="BT45" s="254">
        <v>-750.3</v>
      </c>
      <c r="BU45" s="272">
        <v>2324249.1416102764</v>
      </c>
      <c r="BV45" s="10"/>
      <c r="BW45" s="228">
        <v>165447.9789557349</v>
      </c>
      <c r="BX45" s="188">
        <v>0</v>
      </c>
      <c r="BY45" s="188"/>
      <c r="BZ45" s="188"/>
      <c r="CA45" s="229">
        <v>34659</v>
      </c>
      <c r="CC45" s="235">
        <v>51480</v>
      </c>
      <c r="CD45" s="224">
        <v>300</v>
      </c>
      <c r="CE45" s="224">
        <v>13800</v>
      </c>
      <c r="CF45" s="224">
        <v>22780</v>
      </c>
      <c r="CG45" s="224">
        <v>88711</v>
      </c>
      <c r="CH45" s="224"/>
      <c r="CI45" s="224"/>
      <c r="CJ45" s="229"/>
      <c r="CK45" s="2"/>
    </row>
    <row r="46" spans="1:89" ht="15">
      <c r="A46" s="243">
        <v>5200</v>
      </c>
      <c r="B46" s="196" t="s">
        <v>37</v>
      </c>
      <c r="C46" s="189">
        <v>268</v>
      </c>
      <c r="D46" s="189">
        <v>268</v>
      </c>
      <c r="E46" s="189">
        <v>0</v>
      </c>
      <c r="F46" s="189">
        <v>0</v>
      </c>
      <c r="G46" s="189">
        <v>0</v>
      </c>
      <c r="H46" s="189">
        <v>24.271698113207545</v>
      </c>
      <c r="I46" s="189">
        <v>0</v>
      </c>
      <c r="J46" s="189">
        <v>78</v>
      </c>
      <c r="K46" s="189">
        <v>7.999999999999996</v>
      </c>
      <c r="L46" s="189">
        <v>4.999999999999988</v>
      </c>
      <c r="M46" s="189">
        <v>0</v>
      </c>
      <c r="N46" s="189">
        <v>0</v>
      </c>
      <c r="O46" s="189">
        <v>0</v>
      </c>
      <c r="P46" s="189">
        <v>0</v>
      </c>
      <c r="Q46" s="189">
        <v>0</v>
      </c>
      <c r="R46" s="189">
        <v>0</v>
      </c>
      <c r="S46" s="189">
        <v>0</v>
      </c>
      <c r="T46" s="189">
        <v>0</v>
      </c>
      <c r="U46" s="189">
        <v>0</v>
      </c>
      <c r="V46" s="189">
        <v>141.5280898876403</v>
      </c>
      <c r="W46" s="189">
        <v>0</v>
      </c>
      <c r="X46" s="189">
        <v>71.97714285714298</v>
      </c>
      <c r="Y46" s="189">
        <v>0</v>
      </c>
      <c r="Z46" s="189">
        <v>0</v>
      </c>
      <c r="AA46" s="244">
        <v>0</v>
      </c>
      <c r="AB46" s="253">
        <v>853892.6969506426</v>
      </c>
      <c r="AC46" s="190">
        <v>0</v>
      </c>
      <c r="AD46" s="190">
        <v>0</v>
      </c>
      <c r="AE46" s="190">
        <v>24575.33705660377</v>
      </c>
      <c r="AF46" s="190">
        <v>0</v>
      </c>
      <c r="AG46" s="190">
        <v>5055.18</v>
      </c>
      <c r="AH46" s="190">
        <v>1036.9599999999994</v>
      </c>
      <c r="AI46" s="190">
        <v>972.1499999999976</v>
      </c>
      <c r="AJ46" s="190">
        <v>0</v>
      </c>
      <c r="AK46" s="190">
        <v>0</v>
      </c>
      <c r="AL46" s="190">
        <v>0</v>
      </c>
      <c r="AM46" s="190">
        <v>0</v>
      </c>
      <c r="AN46" s="190">
        <v>0</v>
      </c>
      <c r="AO46" s="190">
        <v>0</v>
      </c>
      <c r="AP46" s="190">
        <v>0</v>
      </c>
      <c r="AQ46" s="190">
        <v>0</v>
      </c>
      <c r="AR46" s="190">
        <v>0</v>
      </c>
      <c r="AS46" s="189">
        <v>104600.5806741572</v>
      </c>
      <c r="AT46" s="189">
        <v>0</v>
      </c>
      <c r="AU46" s="190">
        <v>42466.51428571436</v>
      </c>
      <c r="AV46" s="190">
        <v>0</v>
      </c>
      <c r="AW46" s="190">
        <v>0</v>
      </c>
      <c r="AX46" s="190">
        <v>0</v>
      </c>
      <c r="AY46" s="190">
        <v>140000</v>
      </c>
      <c r="AZ46" s="191">
        <v>5550</v>
      </c>
      <c r="BA46" s="191">
        <v>144.3</v>
      </c>
      <c r="BB46" s="190">
        <v>0</v>
      </c>
      <c r="BC46" s="190">
        <v>0</v>
      </c>
      <c r="BD46" s="268">
        <v>0</v>
      </c>
      <c r="BE46" s="253">
        <v>853892.6969506426</v>
      </c>
      <c r="BF46" s="190">
        <v>178706.72201647534</v>
      </c>
      <c r="BG46" s="190">
        <v>145694.3</v>
      </c>
      <c r="BH46" s="190">
        <v>42466.51428571436</v>
      </c>
      <c r="BI46" s="218">
        <f t="shared" si="0"/>
        <v>1178293.718967118</v>
      </c>
      <c r="BJ46" s="190">
        <v>1178293.718967118</v>
      </c>
      <c r="BK46" s="190">
        <v>0</v>
      </c>
      <c r="BL46" s="190">
        <v>1032599.418967118</v>
      </c>
      <c r="BM46" s="190">
        <v>3852.982906593724</v>
      </c>
      <c r="BN46" s="190">
        <v>3915.3357761194025</v>
      </c>
      <c r="BO46" s="219">
        <v>-0.015925293024926287</v>
      </c>
      <c r="BP46" s="220">
        <v>0.0009252930249262874</v>
      </c>
      <c r="BQ46" s="268">
        <v>970.9192128818862</v>
      </c>
      <c r="BR46" s="266">
        <v>1179264.63818</v>
      </c>
      <c r="BS46" s="238">
        <v>-586.92</v>
      </c>
      <c r="BT46" s="254">
        <v>-326.96</v>
      </c>
      <c r="BU46" s="272">
        <v>1178350.7581800001</v>
      </c>
      <c r="BV46" s="10"/>
      <c r="BW46" s="228">
        <v>219153.5199113361</v>
      </c>
      <c r="BX46" s="188">
        <v>200980.76822451185</v>
      </c>
      <c r="BY46" s="188"/>
      <c r="BZ46" s="188"/>
      <c r="CA46" s="229">
        <v>81700</v>
      </c>
      <c r="CC46" s="235">
        <v>30360</v>
      </c>
      <c r="CD46" s="224">
        <v>0</v>
      </c>
      <c r="CE46" s="224">
        <v>4600</v>
      </c>
      <c r="CF46" s="224">
        <v>19420</v>
      </c>
      <c r="CG46" s="224">
        <v>93954.99999999999</v>
      </c>
      <c r="CH46" s="224">
        <v>7598</v>
      </c>
      <c r="CI46" s="224"/>
      <c r="CJ46" s="229"/>
      <c r="CK46" s="2"/>
    </row>
    <row r="47" spans="1:89" ht="15">
      <c r="A47" s="243">
        <v>5201</v>
      </c>
      <c r="B47" s="196" t="s">
        <v>38</v>
      </c>
      <c r="C47" s="189">
        <v>348</v>
      </c>
      <c r="D47" s="189">
        <v>348</v>
      </c>
      <c r="E47" s="189">
        <v>0</v>
      </c>
      <c r="F47" s="189">
        <v>0</v>
      </c>
      <c r="G47" s="189">
        <v>0</v>
      </c>
      <c r="H47" s="189">
        <v>66.28571428571428</v>
      </c>
      <c r="I47" s="189">
        <v>0</v>
      </c>
      <c r="J47" s="189">
        <v>100.9999999999999</v>
      </c>
      <c r="K47" s="189">
        <v>14.000000000000012</v>
      </c>
      <c r="L47" s="189">
        <v>6.999999999999989</v>
      </c>
      <c r="M47" s="189">
        <v>0.9999999999999983</v>
      </c>
      <c r="N47" s="189">
        <v>0</v>
      </c>
      <c r="O47" s="189">
        <v>0</v>
      </c>
      <c r="P47" s="189">
        <v>0</v>
      </c>
      <c r="Q47" s="189">
        <v>0</v>
      </c>
      <c r="R47" s="189">
        <v>0</v>
      </c>
      <c r="S47" s="189">
        <v>0</v>
      </c>
      <c r="T47" s="189">
        <v>0</v>
      </c>
      <c r="U47" s="189">
        <v>0</v>
      </c>
      <c r="V47" s="189">
        <v>49.99999999999992</v>
      </c>
      <c r="W47" s="189">
        <v>0</v>
      </c>
      <c r="X47" s="189">
        <v>125.15789473684227</v>
      </c>
      <c r="Y47" s="189">
        <v>0</v>
      </c>
      <c r="Z47" s="189">
        <v>0</v>
      </c>
      <c r="AA47" s="244">
        <v>0</v>
      </c>
      <c r="AB47" s="253">
        <v>1108786.0393239688</v>
      </c>
      <c r="AC47" s="190">
        <v>0</v>
      </c>
      <c r="AD47" s="190">
        <v>0</v>
      </c>
      <c r="AE47" s="190">
        <v>67114.94857142857</v>
      </c>
      <c r="AF47" s="190">
        <v>0</v>
      </c>
      <c r="AG47" s="190">
        <v>6545.809999999994</v>
      </c>
      <c r="AH47" s="190">
        <v>1814.6800000000017</v>
      </c>
      <c r="AI47" s="190">
        <v>1361.009999999998</v>
      </c>
      <c r="AJ47" s="190">
        <v>259.2393518999995</v>
      </c>
      <c r="AK47" s="190">
        <v>0</v>
      </c>
      <c r="AL47" s="190">
        <v>0</v>
      </c>
      <c r="AM47" s="190">
        <v>0</v>
      </c>
      <c r="AN47" s="190">
        <v>0</v>
      </c>
      <c r="AO47" s="190">
        <v>0</v>
      </c>
      <c r="AP47" s="190">
        <v>0</v>
      </c>
      <c r="AQ47" s="190">
        <v>0</v>
      </c>
      <c r="AR47" s="190">
        <v>0</v>
      </c>
      <c r="AS47" s="189">
        <v>36953.99999999994</v>
      </c>
      <c r="AT47" s="189">
        <v>0</v>
      </c>
      <c r="AU47" s="190">
        <v>73843.15789473694</v>
      </c>
      <c r="AV47" s="190">
        <v>0</v>
      </c>
      <c r="AW47" s="190">
        <v>0</v>
      </c>
      <c r="AX47" s="190">
        <v>0</v>
      </c>
      <c r="AY47" s="190">
        <v>140000</v>
      </c>
      <c r="AZ47" s="191">
        <v>5550</v>
      </c>
      <c r="BA47" s="191">
        <v>144.3</v>
      </c>
      <c r="BB47" s="190">
        <v>0</v>
      </c>
      <c r="BC47" s="190">
        <v>0</v>
      </c>
      <c r="BD47" s="268">
        <v>0</v>
      </c>
      <c r="BE47" s="253">
        <v>1108786.0393239688</v>
      </c>
      <c r="BF47" s="190">
        <v>187892.84581806546</v>
      </c>
      <c r="BG47" s="190">
        <v>145694.3</v>
      </c>
      <c r="BH47" s="190">
        <v>73843.15789473694</v>
      </c>
      <c r="BI47" s="218">
        <f t="shared" si="0"/>
        <v>1442373.1851420344</v>
      </c>
      <c r="BJ47" s="190">
        <v>1442373.1851420344</v>
      </c>
      <c r="BK47" s="190">
        <v>0</v>
      </c>
      <c r="BL47" s="190">
        <v>1296678.8851420344</v>
      </c>
      <c r="BM47" s="190">
        <v>3726.0887504081447</v>
      </c>
      <c r="BN47" s="190">
        <v>3661.8525378151257</v>
      </c>
      <c r="BO47" s="219">
        <v>0.01754199873688689</v>
      </c>
      <c r="BP47" s="220">
        <v>0</v>
      </c>
      <c r="BQ47" s="268">
        <v>0</v>
      </c>
      <c r="BR47" s="266">
        <v>1442373.1851420344</v>
      </c>
      <c r="BS47" s="238">
        <v>-762.12</v>
      </c>
      <c r="BT47" s="254">
        <v>-424.56</v>
      </c>
      <c r="BU47" s="272">
        <v>1441186.5051420343</v>
      </c>
      <c r="BV47" s="10"/>
      <c r="BW47" s="228"/>
      <c r="BX47" s="188"/>
      <c r="BY47" s="188"/>
      <c r="BZ47" s="188"/>
      <c r="CA47" s="229">
        <v>90358</v>
      </c>
      <c r="CC47" s="235">
        <v>89760</v>
      </c>
      <c r="CD47" s="224">
        <v>0</v>
      </c>
      <c r="CE47" s="224">
        <v>0</v>
      </c>
      <c r="CF47" s="224">
        <v>19570</v>
      </c>
      <c r="CG47" s="224"/>
      <c r="CH47" s="224">
        <v>7994</v>
      </c>
      <c r="CI47" s="224"/>
      <c r="CJ47" s="229"/>
      <c r="CK47" s="2"/>
    </row>
    <row r="48" spans="1:89" ht="15">
      <c r="A48" s="243">
        <v>5202</v>
      </c>
      <c r="B48" s="196" t="s">
        <v>39</v>
      </c>
      <c r="C48" s="189">
        <v>385</v>
      </c>
      <c r="D48" s="189">
        <v>385</v>
      </c>
      <c r="E48" s="189">
        <v>0</v>
      </c>
      <c r="F48" s="189">
        <v>0</v>
      </c>
      <c r="G48" s="189">
        <v>0</v>
      </c>
      <c r="H48" s="189">
        <v>130</v>
      </c>
      <c r="I48" s="189">
        <v>0</v>
      </c>
      <c r="J48" s="189">
        <v>113.99999999999996</v>
      </c>
      <c r="K48" s="189">
        <v>85.00000000000009</v>
      </c>
      <c r="L48" s="189">
        <v>50.00000000000005</v>
      </c>
      <c r="M48" s="189">
        <v>19.00000000000002</v>
      </c>
      <c r="N48" s="189">
        <v>2.999999999999999</v>
      </c>
      <c r="O48" s="189">
        <v>0</v>
      </c>
      <c r="P48" s="189">
        <v>0</v>
      </c>
      <c r="Q48" s="189">
        <v>0</v>
      </c>
      <c r="R48" s="189">
        <v>0</v>
      </c>
      <c r="S48" s="189">
        <v>0</v>
      </c>
      <c r="T48" s="189">
        <v>0</v>
      </c>
      <c r="U48" s="189">
        <v>0</v>
      </c>
      <c r="V48" s="189">
        <v>116.3020833333332</v>
      </c>
      <c r="W48" s="189">
        <v>0</v>
      </c>
      <c r="X48" s="189">
        <v>194.18367346938788</v>
      </c>
      <c r="Y48" s="189">
        <v>0</v>
      </c>
      <c r="Z48" s="189">
        <v>5.49999999999989</v>
      </c>
      <c r="AA48" s="244">
        <v>0</v>
      </c>
      <c r="AB48" s="253">
        <v>1226674.2101716322</v>
      </c>
      <c r="AC48" s="190">
        <v>0</v>
      </c>
      <c r="AD48" s="190">
        <v>0</v>
      </c>
      <c r="AE48" s="190">
        <v>131626.3</v>
      </c>
      <c r="AF48" s="190">
        <v>0</v>
      </c>
      <c r="AG48" s="190">
        <v>7388.339999999997</v>
      </c>
      <c r="AH48" s="190">
        <v>11017.700000000012</v>
      </c>
      <c r="AI48" s="190">
        <v>9721.500000000011</v>
      </c>
      <c r="AJ48" s="190">
        <v>4925.547686100005</v>
      </c>
      <c r="AK48" s="190">
        <v>972.1475696249996</v>
      </c>
      <c r="AL48" s="190">
        <v>0</v>
      </c>
      <c r="AM48" s="190">
        <v>0</v>
      </c>
      <c r="AN48" s="190">
        <v>0</v>
      </c>
      <c r="AO48" s="190">
        <v>0</v>
      </c>
      <c r="AP48" s="190">
        <v>0</v>
      </c>
      <c r="AQ48" s="190">
        <v>0</v>
      </c>
      <c r="AR48" s="190">
        <v>0</v>
      </c>
      <c r="AS48" s="189">
        <v>85956.54374999991</v>
      </c>
      <c r="AT48" s="189">
        <v>0</v>
      </c>
      <c r="AU48" s="190">
        <v>114568.36734693885</v>
      </c>
      <c r="AV48" s="190">
        <v>0</v>
      </c>
      <c r="AW48" s="190">
        <v>4399.999999999912</v>
      </c>
      <c r="AX48" s="190">
        <v>0</v>
      </c>
      <c r="AY48" s="190">
        <v>140000</v>
      </c>
      <c r="AZ48" s="191">
        <v>7750</v>
      </c>
      <c r="BA48" s="191">
        <v>-1233.88</v>
      </c>
      <c r="BB48" s="190">
        <v>0</v>
      </c>
      <c r="BC48" s="190">
        <v>0</v>
      </c>
      <c r="BD48" s="268">
        <v>0</v>
      </c>
      <c r="BE48" s="253">
        <v>1226674.2101716322</v>
      </c>
      <c r="BF48" s="190">
        <v>370576.4463526637</v>
      </c>
      <c r="BG48" s="190">
        <v>146516.12</v>
      </c>
      <c r="BH48" s="190">
        <v>114568.36734693885</v>
      </c>
      <c r="BI48" s="218">
        <f t="shared" si="0"/>
        <v>1743766.776524296</v>
      </c>
      <c r="BJ48" s="190">
        <v>1743766.776524296</v>
      </c>
      <c r="BK48" s="190">
        <v>0</v>
      </c>
      <c r="BL48" s="190">
        <v>1597250.656524296</v>
      </c>
      <c r="BM48" s="190">
        <v>4148.70300395921</v>
      </c>
      <c r="BN48" s="190">
        <v>4131.597941581633</v>
      </c>
      <c r="BO48" s="219">
        <v>0.004140059758822809</v>
      </c>
      <c r="BP48" s="220">
        <v>0</v>
      </c>
      <c r="BQ48" s="268">
        <v>0</v>
      </c>
      <c r="BR48" s="266">
        <v>1743766.776524296</v>
      </c>
      <c r="BS48" s="238">
        <v>-843.15</v>
      </c>
      <c r="BT48" s="254">
        <v>-469.7</v>
      </c>
      <c r="BU48" s="272">
        <v>1742453.9265242962</v>
      </c>
      <c r="BV48" s="10"/>
      <c r="BW48" s="228"/>
      <c r="BX48" s="188"/>
      <c r="BY48" s="188"/>
      <c r="BZ48" s="188"/>
      <c r="CA48" s="229">
        <v>35883</v>
      </c>
      <c r="CC48" s="235">
        <v>170280</v>
      </c>
      <c r="CD48" s="224">
        <v>300</v>
      </c>
      <c r="CE48" s="224">
        <v>2300</v>
      </c>
      <c r="CF48" s="224">
        <v>19920</v>
      </c>
      <c r="CG48" s="224"/>
      <c r="CH48" s="224">
        <v>8534</v>
      </c>
      <c r="CI48" s="224"/>
      <c r="CJ48" s="229"/>
      <c r="CK48" s="2"/>
    </row>
    <row r="49" spans="1:89" ht="15">
      <c r="A49" s="243">
        <v>5203</v>
      </c>
      <c r="B49" s="187" t="s">
        <v>134</v>
      </c>
      <c r="C49" s="189">
        <v>320</v>
      </c>
      <c r="D49" s="189">
        <v>320</v>
      </c>
      <c r="E49" s="189">
        <v>0</v>
      </c>
      <c r="F49" s="189">
        <v>0</v>
      </c>
      <c r="G49" s="189">
        <v>0</v>
      </c>
      <c r="H49" s="189">
        <v>60</v>
      </c>
      <c r="I49" s="189">
        <v>0</v>
      </c>
      <c r="J49" s="189">
        <v>102</v>
      </c>
      <c r="K49" s="189">
        <v>87</v>
      </c>
      <c r="L49" s="189">
        <v>25</v>
      </c>
      <c r="M49" s="189">
        <v>13</v>
      </c>
      <c r="N49" s="189">
        <v>5</v>
      </c>
      <c r="O49" s="189">
        <v>0</v>
      </c>
      <c r="P49" s="189">
        <v>0</v>
      </c>
      <c r="Q49" s="189">
        <v>0</v>
      </c>
      <c r="R49" s="189">
        <v>0</v>
      </c>
      <c r="S49" s="189">
        <v>0</v>
      </c>
      <c r="T49" s="189">
        <v>0</v>
      </c>
      <c r="U49" s="189">
        <v>0</v>
      </c>
      <c r="V49" s="189">
        <v>258.46153846153857</v>
      </c>
      <c r="W49" s="189">
        <v>0</v>
      </c>
      <c r="X49" s="189">
        <v>98.58585858585856</v>
      </c>
      <c r="Y49" s="189">
        <v>0</v>
      </c>
      <c r="Z49" s="189">
        <v>0</v>
      </c>
      <c r="AA49" s="244">
        <v>0</v>
      </c>
      <c r="AB49" s="253">
        <v>1019573.3694933046</v>
      </c>
      <c r="AC49" s="190">
        <v>0</v>
      </c>
      <c r="AD49" s="190">
        <v>0</v>
      </c>
      <c r="AE49" s="190">
        <v>60750.6</v>
      </c>
      <c r="AF49" s="190">
        <v>0</v>
      </c>
      <c r="AG49" s="190">
        <v>6610.62</v>
      </c>
      <c r="AH49" s="190">
        <v>11276.94</v>
      </c>
      <c r="AI49" s="190">
        <v>4860.75</v>
      </c>
      <c r="AJ49" s="190">
        <v>3370.1115746999994</v>
      </c>
      <c r="AK49" s="190">
        <v>1620.2459493749998</v>
      </c>
      <c r="AL49" s="190">
        <v>0</v>
      </c>
      <c r="AM49" s="190">
        <v>0</v>
      </c>
      <c r="AN49" s="190">
        <v>0</v>
      </c>
      <c r="AO49" s="190">
        <v>0</v>
      </c>
      <c r="AP49" s="190">
        <v>0</v>
      </c>
      <c r="AQ49" s="190">
        <v>0</v>
      </c>
      <c r="AR49" s="190">
        <v>0</v>
      </c>
      <c r="AS49" s="189">
        <v>191023.75384615394</v>
      </c>
      <c r="AT49" s="189">
        <v>0</v>
      </c>
      <c r="AU49" s="190">
        <v>58165.65656565655</v>
      </c>
      <c r="AV49" s="190">
        <v>0</v>
      </c>
      <c r="AW49" s="190">
        <v>0</v>
      </c>
      <c r="AX49" s="190">
        <v>0</v>
      </c>
      <c r="AY49" s="190">
        <v>140000</v>
      </c>
      <c r="AZ49" s="191">
        <v>7750</v>
      </c>
      <c r="BA49" s="191">
        <v>-1233.88</v>
      </c>
      <c r="BB49" s="190">
        <v>0</v>
      </c>
      <c r="BC49" s="190">
        <v>0</v>
      </c>
      <c r="BD49" s="268">
        <v>0</v>
      </c>
      <c r="BE49" s="253">
        <v>1019573.3694933046</v>
      </c>
      <c r="BF49" s="190">
        <v>337678.6779358855</v>
      </c>
      <c r="BG49" s="190">
        <v>146516.12</v>
      </c>
      <c r="BH49" s="190">
        <v>58165.65656565655</v>
      </c>
      <c r="BI49" s="218">
        <f t="shared" si="0"/>
        <v>1503768.1674291901</v>
      </c>
      <c r="BJ49" s="190">
        <v>1503768.1674291901</v>
      </c>
      <c r="BK49" s="190">
        <v>0</v>
      </c>
      <c r="BL49" s="190">
        <v>1357252.04742919</v>
      </c>
      <c r="BM49" s="190">
        <v>4241.412648216219</v>
      </c>
      <c r="BN49" s="190">
        <v>4246.545740809968</v>
      </c>
      <c r="BO49" s="219">
        <v>-0.0012087689399926335</v>
      </c>
      <c r="BP49" s="220">
        <v>0</v>
      </c>
      <c r="BQ49" s="268">
        <v>0</v>
      </c>
      <c r="BR49" s="266">
        <v>1503768.1674291901</v>
      </c>
      <c r="BS49" s="238">
        <v>-700.8</v>
      </c>
      <c r="BT49" s="254">
        <v>-390.4</v>
      </c>
      <c r="BU49" s="272">
        <v>1502676.9674291902</v>
      </c>
      <c r="BV49" s="10"/>
      <c r="BW49" s="228">
        <v>275579.58590967796</v>
      </c>
      <c r="BX49" s="188">
        <v>0</v>
      </c>
      <c r="BY49" s="188"/>
      <c r="BZ49" s="188"/>
      <c r="CA49" s="229">
        <v>37126</v>
      </c>
      <c r="CC49" s="235">
        <v>79200</v>
      </c>
      <c r="CD49" s="224">
        <v>0</v>
      </c>
      <c r="CE49" s="224">
        <v>2300</v>
      </c>
      <c r="CF49" s="224">
        <v>20040</v>
      </c>
      <c r="CG49" s="224">
        <v>104442.99999999999</v>
      </c>
      <c r="CH49" s="224">
        <v>8370</v>
      </c>
      <c r="CI49" s="224"/>
      <c r="CJ49" s="229"/>
      <c r="CK49" s="2"/>
    </row>
    <row r="50" spans="1:89" ht="15">
      <c r="A50" s="243">
        <v>5204</v>
      </c>
      <c r="B50" s="187" t="s">
        <v>40</v>
      </c>
      <c r="C50" s="189">
        <v>165</v>
      </c>
      <c r="D50" s="189">
        <v>165</v>
      </c>
      <c r="E50" s="189">
        <v>0</v>
      </c>
      <c r="F50" s="189">
        <v>0</v>
      </c>
      <c r="G50" s="189">
        <v>0</v>
      </c>
      <c r="H50" s="189">
        <v>29.00000000000004</v>
      </c>
      <c r="I50" s="189">
        <v>0</v>
      </c>
      <c r="J50" s="189">
        <v>32.00000000000001</v>
      </c>
      <c r="K50" s="189">
        <v>18.999999999999975</v>
      </c>
      <c r="L50" s="189">
        <v>0</v>
      </c>
      <c r="M50" s="189">
        <v>3.0000000000000027</v>
      </c>
      <c r="N50" s="189">
        <v>0</v>
      </c>
      <c r="O50" s="189">
        <v>0</v>
      </c>
      <c r="P50" s="189">
        <v>0</v>
      </c>
      <c r="Q50" s="189">
        <v>0</v>
      </c>
      <c r="R50" s="189">
        <v>0</v>
      </c>
      <c r="S50" s="189">
        <v>0</v>
      </c>
      <c r="T50" s="189">
        <v>0</v>
      </c>
      <c r="U50" s="189">
        <v>0</v>
      </c>
      <c r="V50" s="189">
        <v>101.77570093457943</v>
      </c>
      <c r="W50" s="189">
        <v>0</v>
      </c>
      <c r="X50" s="189">
        <v>43.25242718446601</v>
      </c>
      <c r="Y50" s="189">
        <v>0</v>
      </c>
      <c r="Z50" s="189">
        <v>0</v>
      </c>
      <c r="AA50" s="244">
        <v>0</v>
      </c>
      <c r="AB50" s="253">
        <v>525717.5186449852</v>
      </c>
      <c r="AC50" s="190">
        <v>0</v>
      </c>
      <c r="AD50" s="190">
        <v>0</v>
      </c>
      <c r="AE50" s="190">
        <v>29362.79000000004</v>
      </c>
      <c r="AF50" s="190">
        <v>0</v>
      </c>
      <c r="AG50" s="190">
        <v>2073.9200000000005</v>
      </c>
      <c r="AH50" s="190">
        <v>2462.779999999997</v>
      </c>
      <c r="AI50" s="190">
        <v>0</v>
      </c>
      <c r="AJ50" s="190">
        <v>777.7180557000006</v>
      </c>
      <c r="AK50" s="190">
        <v>0</v>
      </c>
      <c r="AL50" s="190">
        <v>0</v>
      </c>
      <c r="AM50" s="190">
        <v>0</v>
      </c>
      <c r="AN50" s="190">
        <v>0</v>
      </c>
      <c r="AO50" s="190">
        <v>0</v>
      </c>
      <c r="AP50" s="190">
        <v>0</v>
      </c>
      <c r="AQ50" s="190">
        <v>0</v>
      </c>
      <c r="AR50" s="190">
        <v>0</v>
      </c>
      <c r="AS50" s="189">
        <v>75220.38504672897</v>
      </c>
      <c r="AT50" s="189">
        <v>0</v>
      </c>
      <c r="AU50" s="190">
        <v>25518.932038834944</v>
      </c>
      <c r="AV50" s="190">
        <v>0</v>
      </c>
      <c r="AW50" s="190">
        <v>0</v>
      </c>
      <c r="AX50" s="190">
        <v>0</v>
      </c>
      <c r="AY50" s="190">
        <v>140000</v>
      </c>
      <c r="AZ50" s="191">
        <v>4392</v>
      </c>
      <c r="BA50" s="191">
        <v>-90.695</v>
      </c>
      <c r="BB50" s="190">
        <v>0</v>
      </c>
      <c r="BC50" s="190">
        <v>0</v>
      </c>
      <c r="BD50" s="268">
        <v>0</v>
      </c>
      <c r="BE50" s="253">
        <v>525717.5186449852</v>
      </c>
      <c r="BF50" s="190">
        <v>135416.52514126396</v>
      </c>
      <c r="BG50" s="190">
        <v>144301.305</v>
      </c>
      <c r="BH50" s="190">
        <v>25518.932038834944</v>
      </c>
      <c r="BI50" s="218">
        <f t="shared" si="0"/>
        <v>805435.3487862491</v>
      </c>
      <c r="BJ50" s="190">
        <v>805435.3487862491</v>
      </c>
      <c r="BK50" s="190">
        <v>0</v>
      </c>
      <c r="BL50" s="190">
        <v>661134.043786249</v>
      </c>
      <c r="BM50" s="190">
        <v>4006.8729926439332</v>
      </c>
      <c r="BN50" s="190">
        <v>3964.5729061349693</v>
      </c>
      <c r="BO50" s="219">
        <v>0.010669519141269092</v>
      </c>
      <c r="BP50" s="220">
        <v>0</v>
      </c>
      <c r="BQ50" s="268">
        <v>0</v>
      </c>
      <c r="BR50" s="266">
        <v>805435.3487862491</v>
      </c>
      <c r="BS50" s="238">
        <v>-361.34999999999997</v>
      </c>
      <c r="BT50" s="254">
        <v>-201.29999999999998</v>
      </c>
      <c r="BU50" s="272">
        <v>804872.698786249</v>
      </c>
      <c r="BV50" s="10"/>
      <c r="BW50" s="228">
        <v>161591.04298172455</v>
      </c>
      <c r="BX50" s="188">
        <v>29750.288921053932</v>
      </c>
      <c r="BY50" s="188"/>
      <c r="BZ50" s="188"/>
      <c r="CA50" s="229">
        <v>25000</v>
      </c>
      <c r="CC50" s="235">
        <v>34320</v>
      </c>
      <c r="CD50" s="224">
        <v>600</v>
      </c>
      <c r="CE50" s="224">
        <v>2300</v>
      </c>
      <c r="CF50" s="224">
        <v>18120</v>
      </c>
      <c r="CG50" s="224">
        <v>52003</v>
      </c>
      <c r="CH50" s="224">
        <v>6423</v>
      </c>
      <c r="CI50" s="224"/>
      <c r="CJ50" s="229"/>
      <c r="CK50" s="2"/>
    </row>
    <row r="51" spans="1:89" ht="15">
      <c r="A51" s="243">
        <v>5205</v>
      </c>
      <c r="B51" s="222" t="s">
        <v>41</v>
      </c>
      <c r="C51" s="189">
        <v>236</v>
      </c>
      <c r="D51" s="189">
        <v>236</v>
      </c>
      <c r="E51" s="189">
        <v>0</v>
      </c>
      <c r="F51" s="189">
        <v>0</v>
      </c>
      <c r="G51" s="189">
        <v>0</v>
      </c>
      <c r="H51" s="189">
        <v>49.208510638297874</v>
      </c>
      <c r="I51" s="189">
        <v>0</v>
      </c>
      <c r="J51" s="189">
        <v>39.0000000000001</v>
      </c>
      <c r="K51" s="189">
        <v>23.999999999999932</v>
      </c>
      <c r="L51" s="189">
        <v>1</v>
      </c>
      <c r="M51" s="189">
        <v>4.000000000000004</v>
      </c>
      <c r="N51" s="189">
        <v>0</v>
      </c>
      <c r="O51" s="189">
        <v>0</v>
      </c>
      <c r="P51" s="189">
        <v>0</v>
      </c>
      <c r="Q51" s="189">
        <v>0</v>
      </c>
      <c r="R51" s="189">
        <v>0</v>
      </c>
      <c r="S51" s="189">
        <v>0</v>
      </c>
      <c r="T51" s="189">
        <v>0</v>
      </c>
      <c r="U51" s="189">
        <v>0</v>
      </c>
      <c r="V51" s="189">
        <v>53.225531914893615</v>
      </c>
      <c r="W51" s="189">
        <v>0</v>
      </c>
      <c r="X51" s="189">
        <v>133.28497409326417</v>
      </c>
      <c r="Y51" s="189">
        <v>0</v>
      </c>
      <c r="Z51" s="189">
        <v>0</v>
      </c>
      <c r="AA51" s="244">
        <v>0</v>
      </c>
      <c r="AB51" s="253">
        <v>751935.3600013122</v>
      </c>
      <c r="AC51" s="190">
        <v>0</v>
      </c>
      <c r="AD51" s="190">
        <v>0</v>
      </c>
      <c r="AE51" s="190">
        <v>49824.10910638298</v>
      </c>
      <c r="AF51" s="190">
        <v>0</v>
      </c>
      <c r="AG51" s="190">
        <v>2527.5900000000065</v>
      </c>
      <c r="AH51" s="190">
        <v>3110.8799999999915</v>
      </c>
      <c r="AI51" s="190">
        <v>194.43</v>
      </c>
      <c r="AJ51" s="190">
        <v>1036.957407600001</v>
      </c>
      <c r="AK51" s="190">
        <v>0</v>
      </c>
      <c r="AL51" s="190">
        <v>0</v>
      </c>
      <c r="AM51" s="190">
        <v>0</v>
      </c>
      <c r="AN51" s="190">
        <v>0</v>
      </c>
      <c r="AO51" s="190">
        <v>0</v>
      </c>
      <c r="AP51" s="190">
        <v>0</v>
      </c>
      <c r="AQ51" s="190">
        <v>0</v>
      </c>
      <c r="AR51" s="190">
        <v>0</v>
      </c>
      <c r="AS51" s="189">
        <v>39337.92612765958</v>
      </c>
      <c r="AT51" s="189">
        <v>0</v>
      </c>
      <c r="AU51" s="190">
        <v>78638.13471502587</v>
      </c>
      <c r="AV51" s="190">
        <v>0</v>
      </c>
      <c r="AW51" s="190">
        <v>0</v>
      </c>
      <c r="AX51" s="190">
        <v>0</v>
      </c>
      <c r="AY51" s="190">
        <v>140000</v>
      </c>
      <c r="AZ51" s="191">
        <v>4392</v>
      </c>
      <c r="BA51" s="191">
        <v>-90.695</v>
      </c>
      <c r="BB51" s="190">
        <v>0</v>
      </c>
      <c r="BC51" s="190">
        <v>0</v>
      </c>
      <c r="BD51" s="268">
        <v>0</v>
      </c>
      <c r="BE51" s="253">
        <v>751935.3600013122</v>
      </c>
      <c r="BF51" s="190">
        <v>174670.02735666843</v>
      </c>
      <c r="BG51" s="190">
        <v>144301.305</v>
      </c>
      <c r="BH51" s="190">
        <v>78638.13471502587</v>
      </c>
      <c r="BI51" s="218">
        <f t="shared" si="0"/>
        <v>1070906.6923579806</v>
      </c>
      <c r="BJ51" s="190">
        <v>1070906.6923579806</v>
      </c>
      <c r="BK51" s="190">
        <v>0</v>
      </c>
      <c r="BL51" s="190">
        <v>926605.3873579806</v>
      </c>
      <c r="BM51" s="190">
        <v>3926.294014228731</v>
      </c>
      <c r="BN51" s="190">
        <v>3870.29228680851</v>
      </c>
      <c r="BO51" s="219">
        <v>0.014469637761234994</v>
      </c>
      <c r="BP51" s="220">
        <v>0</v>
      </c>
      <c r="BQ51" s="268">
        <v>0</v>
      </c>
      <c r="BR51" s="266">
        <v>1070906.6923579806</v>
      </c>
      <c r="BS51" s="238">
        <v>-516.84</v>
      </c>
      <c r="BT51" s="254">
        <v>-287.92</v>
      </c>
      <c r="BU51" s="272">
        <v>1070101.9323579806</v>
      </c>
      <c r="BV51" s="10"/>
      <c r="BW51" s="228"/>
      <c r="BX51" s="188"/>
      <c r="BY51" s="188"/>
      <c r="BZ51" s="188"/>
      <c r="CA51" s="229">
        <v>45742</v>
      </c>
      <c r="CC51" s="235">
        <v>64680</v>
      </c>
      <c r="CD51" s="224">
        <v>600</v>
      </c>
      <c r="CE51" s="224">
        <v>0</v>
      </c>
      <c r="CF51" s="224">
        <v>18350</v>
      </c>
      <c r="CG51" s="224"/>
      <c r="CH51" s="224">
        <v>6599</v>
      </c>
      <c r="CI51" s="224"/>
      <c r="CJ51" s="229"/>
      <c r="CK51" s="2"/>
    </row>
    <row r="52" spans="1:89" ht="15">
      <c r="A52" s="243">
        <v>5208</v>
      </c>
      <c r="B52" s="187" t="s">
        <v>99</v>
      </c>
      <c r="C52" s="189">
        <v>200</v>
      </c>
      <c r="D52" s="189">
        <v>200</v>
      </c>
      <c r="E52" s="189">
        <v>0</v>
      </c>
      <c r="F52" s="189">
        <v>0</v>
      </c>
      <c r="G52" s="189">
        <v>0</v>
      </c>
      <c r="H52" s="189">
        <v>31</v>
      </c>
      <c r="I52" s="189">
        <v>0</v>
      </c>
      <c r="J52" s="189">
        <v>39</v>
      </c>
      <c r="K52" s="189">
        <v>89</v>
      </c>
      <c r="L52" s="189">
        <v>24</v>
      </c>
      <c r="M52" s="189">
        <v>6</v>
      </c>
      <c r="N52" s="189">
        <v>0</v>
      </c>
      <c r="O52" s="189">
        <v>0</v>
      </c>
      <c r="P52" s="189">
        <v>0</v>
      </c>
      <c r="Q52" s="189">
        <v>0</v>
      </c>
      <c r="R52" s="189">
        <v>0</v>
      </c>
      <c r="S52" s="189">
        <v>0</v>
      </c>
      <c r="T52" s="189">
        <v>0</v>
      </c>
      <c r="U52" s="189">
        <v>0</v>
      </c>
      <c r="V52" s="189">
        <v>35.428571428571395</v>
      </c>
      <c r="W52" s="189">
        <v>0</v>
      </c>
      <c r="X52" s="189">
        <v>63.803680981595</v>
      </c>
      <c r="Y52" s="189">
        <v>0</v>
      </c>
      <c r="Z52" s="189">
        <v>1.9999999999999991</v>
      </c>
      <c r="AA52" s="244">
        <v>0</v>
      </c>
      <c r="AB52" s="253">
        <v>637233.3559333154</v>
      </c>
      <c r="AC52" s="190">
        <v>0</v>
      </c>
      <c r="AD52" s="190">
        <v>0</v>
      </c>
      <c r="AE52" s="190">
        <v>31387.81</v>
      </c>
      <c r="AF52" s="190">
        <v>0</v>
      </c>
      <c r="AG52" s="190">
        <v>2527.59</v>
      </c>
      <c r="AH52" s="190">
        <v>11536.18</v>
      </c>
      <c r="AI52" s="190">
        <v>4666.32</v>
      </c>
      <c r="AJ52" s="190">
        <v>1555.4361113999998</v>
      </c>
      <c r="AK52" s="190">
        <v>0</v>
      </c>
      <c r="AL52" s="190">
        <v>0</v>
      </c>
      <c r="AM52" s="190">
        <v>0</v>
      </c>
      <c r="AN52" s="190">
        <v>0</v>
      </c>
      <c r="AO52" s="190">
        <v>0</v>
      </c>
      <c r="AP52" s="190">
        <v>0</v>
      </c>
      <c r="AQ52" s="190">
        <v>0</v>
      </c>
      <c r="AR52" s="190">
        <v>0</v>
      </c>
      <c r="AS52" s="189">
        <v>26184.54857142855</v>
      </c>
      <c r="AT52" s="189">
        <v>0</v>
      </c>
      <c r="AU52" s="190">
        <v>37644.17177914105</v>
      </c>
      <c r="AV52" s="190">
        <v>0</v>
      </c>
      <c r="AW52" s="190">
        <v>1599.9999999999993</v>
      </c>
      <c r="AX52" s="190">
        <v>0</v>
      </c>
      <c r="AY52" s="190">
        <v>140000</v>
      </c>
      <c r="AZ52" s="191">
        <v>3888</v>
      </c>
      <c r="BA52" s="191">
        <v>-321.07</v>
      </c>
      <c r="BB52" s="190">
        <v>0</v>
      </c>
      <c r="BC52" s="190">
        <v>0</v>
      </c>
      <c r="BD52" s="268">
        <v>0</v>
      </c>
      <c r="BE52" s="253">
        <v>637233.3559333154</v>
      </c>
      <c r="BF52" s="190">
        <v>117102.0564619696</v>
      </c>
      <c r="BG52" s="190">
        <v>143566.93</v>
      </c>
      <c r="BH52" s="190">
        <v>37644.17177914105</v>
      </c>
      <c r="BI52" s="218">
        <f t="shared" si="0"/>
        <v>897902.3423952849</v>
      </c>
      <c r="BJ52" s="190">
        <v>897902.3423952849</v>
      </c>
      <c r="BK52" s="190">
        <v>0</v>
      </c>
      <c r="BL52" s="190">
        <v>754335.4123952849</v>
      </c>
      <c r="BM52" s="190">
        <v>3771.6770619764243</v>
      </c>
      <c r="BN52" s="190">
        <v>3708.9893</v>
      </c>
      <c r="BO52" s="219">
        <v>0.016901575309592857</v>
      </c>
      <c r="BP52" s="220">
        <v>0</v>
      </c>
      <c r="BQ52" s="268">
        <v>0</v>
      </c>
      <c r="BR52" s="266">
        <v>897902.3423952849</v>
      </c>
      <c r="BS52" s="238">
        <v>-438</v>
      </c>
      <c r="BT52" s="254">
        <v>-244</v>
      </c>
      <c r="BU52" s="272">
        <v>897220.3423952849</v>
      </c>
      <c r="BV52" s="10"/>
      <c r="BW52" s="228">
        <v>50666.284398607306</v>
      </c>
      <c r="BX52" s="188">
        <v>35594.1292077611</v>
      </c>
      <c r="BY52" s="188"/>
      <c r="BZ52" s="188"/>
      <c r="CA52" s="229">
        <v>20700</v>
      </c>
      <c r="CC52" s="235">
        <v>39600</v>
      </c>
      <c r="CD52" s="224">
        <v>900</v>
      </c>
      <c r="CE52" s="224">
        <v>6900</v>
      </c>
      <c r="CF52" s="224">
        <v>18120</v>
      </c>
      <c r="CG52" s="224">
        <v>27094</v>
      </c>
      <c r="CH52" s="224"/>
      <c r="CI52" s="224"/>
      <c r="CJ52" s="229"/>
      <c r="CK52" s="2"/>
    </row>
    <row r="53" spans="1:89" ht="15">
      <c r="A53" s="243">
        <v>5211</v>
      </c>
      <c r="B53" s="187" t="s">
        <v>43</v>
      </c>
      <c r="C53" s="189">
        <v>634</v>
      </c>
      <c r="D53" s="189">
        <v>634</v>
      </c>
      <c r="E53" s="189">
        <v>0</v>
      </c>
      <c r="F53" s="189">
        <v>0</v>
      </c>
      <c r="G53" s="189">
        <v>0</v>
      </c>
      <c r="H53" s="189">
        <v>107.35463258785943</v>
      </c>
      <c r="I53" s="189">
        <v>0</v>
      </c>
      <c r="J53" s="189">
        <v>178.99999999999991</v>
      </c>
      <c r="K53" s="189">
        <v>70.99999999999999</v>
      </c>
      <c r="L53" s="189">
        <v>26.000000000000014</v>
      </c>
      <c r="M53" s="189">
        <v>26.000000000000014</v>
      </c>
      <c r="N53" s="189">
        <v>0</v>
      </c>
      <c r="O53" s="189">
        <v>0</v>
      </c>
      <c r="P53" s="189">
        <v>0</v>
      </c>
      <c r="Q53" s="189">
        <v>0</v>
      </c>
      <c r="R53" s="189">
        <v>0</v>
      </c>
      <c r="S53" s="189">
        <v>0</v>
      </c>
      <c r="T53" s="189">
        <v>0</v>
      </c>
      <c r="U53" s="189">
        <v>0</v>
      </c>
      <c r="V53" s="189">
        <v>202.73937153419578</v>
      </c>
      <c r="W53" s="189">
        <v>0</v>
      </c>
      <c r="X53" s="189">
        <v>252.88090737240088</v>
      </c>
      <c r="Y53" s="189">
        <v>0</v>
      </c>
      <c r="Z53" s="189">
        <v>0</v>
      </c>
      <c r="AA53" s="244">
        <v>0</v>
      </c>
      <c r="AB53" s="253">
        <v>2020029.7383086097</v>
      </c>
      <c r="AC53" s="190">
        <v>0</v>
      </c>
      <c r="AD53" s="190">
        <v>0</v>
      </c>
      <c r="AE53" s="190">
        <v>108697.63904153355</v>
      </c>
      <c r="AF53" s="190">
        <v>0</v>
      </c>
      <c r="AG53" s="190">
        <v>11600.989999999994</v>
      </c>
      <c r="AH53" s="190">
        <v>9203.019999999999</v>
      </c>
      <c r="AI53" s="190">
        <v>5055.180000000003</v>
      </c>
      <c r="AJ53" s="190">
        <v>6740.223149400003</v>
      </c>
      <c r="AK53" s="190">
        <v>0</v>
      </c>
      <c r="AL53" s="190">
        <v>0</v>
      </c>
      <c r="AM53" s="190">
        <v>0</v>
      </c>
      <c r="AN53" s="190">
        <v>0</v>
      </c>
      <c r="AO53" s="190">
        <v>0</v>
      </c>
      <c r="AP53" s="190">
        <v>0</v>
      </c>
      <c r="AQ53" s="190">
        <v>0</v>
      </c>
      <c r="AR53" s="190">
        <v>0</v>
      </c>
      <c r="AS53" s="189">
        <v>149840.6147134934</v>
      </c>
      <c r="AT53" s="189">
        <v>0</v>
      </c>
      <c r="AU53" s="190">
        <v>149199.73534971653</v>
      </c>
      <c r="AV53" s="190">
        <v>0</v>
      </c>
      <c r="AW53" s="190">
        <v>0</v>
      </c>
      <c r="AX53" s="190">
        <v>0</v>
      </c>
      <c r="AY53" s="190">
        <v>140000</v>
      </c>
      <c r="AZ53" s="191">
        <v>11500</v>
      </c>
      <c r="BA53" s="191">
        <v>424.06</v>
      </c>
      <c r="BB53" s="190">
        <v>0</v>
      </c>
      <c r="BC53" s="190">
        <v>0</v>
      </c>
      <c r="BD53" s="268">
        <v>0</v>
      </c>
      <c r="BE53" s="253">
        <v>2020029.7383086097</v>
      </c>
      <c r="BF53" s="190">
        <v>440337.4022541435</v>
      </c>
      <c r="BG53" s="190">
        <v>151924.06</v>
      </c>
      <c r="BH53" s="190">
        <v>149199.73534971653</v>
      </c>
      <c r="BI53" s="218">
        <f t="shared" si="0"/>
        <v>2612291.2005627532</v>
      </c>
      <c r="BJ53" s="190">
        <v>2612291.2005627537</v>
      </c>
      <c r="BK53" s="190">
        <v>0</v>
      </c>
      <c r="BL53" s="190">
        <v>2460367.140562753</v>
      </c>
      <c r="BM53" s="190">
        <v>3880.7052690264245</v>
      </c>
      <c r="BN53" s="190">
        <v>3822.232922169059</v>
      </c>
      <c r="BO53" s="219">
        <v>0.015297954899144007</v>
      </c>
      <c r="BP53" s="220">
        <v>0</v>
      </c>
      <c r="BQ53" s="268">
        <v>0</v>
      </c>
      <c r="BR53" s="266">
        <v>2612291.2005627532</v>
      </c>
      <c r="BS53" s="238">
        <v>-1388.46</v>
      </c>
      <c r="BT53" s="254">
        <v>-773.48</v>
      </c>
      <c r="BU53" s="272">
        <v>2610129.2605627533</v>
      </c>
      <c r="BV53" s="10"/>
      <c r="BW53" s="228">
        <v>242572.40558756498</v>
      </c>
      <c r="BX53" s="188">
        <v>0</v>
      </c>
      <c r="BY53" s="188"/>
      <c r="BZ53" s="188"/>
      <c r="CA53" s="229">
        <v>125500</v>
      </c>
      <c r="CC53" s="235">
        <v>135960</v>
      </c>
      <c r="CD53" s="224">
        <v>0</v>
      </c>
      <c r="CE53" s="224">
        <v>13800</v>
      </c>
      <c r="CF53" s="224">
        <v>23060</v>
      </c>
      <c r="CG53" s="224">
        <v>85651.99999999999</v>
      </c>
      <c r="CH53" s="224">
        <v>11794</v>
      </c>
      <c r="CI53" s="224"/>
      <c r="CJ53" s="229"/>
      <c r="CK53" s="2"/>
    </row>
    <row r="54" spans="1:89" ht="15">
      <c r="A54" s="243">
        <v>5409</v>
      </c>
      <c r="B54" s="196" t="s">
        <v>219</v>
      </c>
      <c r="C54" s="189">
        <v>658</v>
      </c>
      <c r="D54" s="189">
        <v>0</v>
      </c>
      <c r="E54" s="189">
        <v>658</v>
      </c>
      <c r="F54" s="189">
        <v>510</v>
      </c>
      <c r="G54" s="189">
        <v>148</v>
      </c>
      <c r="H54" s="189">
        <v>0</v>
      </c>
      <c r="I54" s="189">
        <v>265.832</v>
      </c>
      <c r="J54" s="189">
        <v>0</v>
      </c>
      <c r="K54" s="189">
        <v>0</v>
      </c>
      <c r="L54" s="189">
        <v>0</v>
      </c>
      <c r="M54" s="189">
        <v>0</v>
      </c>
      <c r="N54" s="189">
        <v>0</v>
      </c>
      <c r="O54" s="189">
        <v>0</v>
      </c>
      <c r="P54" s="189">
        <v>170.2587519025875</v>
      </c>
      <c r="Q54" s="189">
        <v>118.17960426179629</v>
      </c>
      <c r="R54" s="189">
        <v>132.20091324200885</v>
      </c>
      <c r="S54" s="189">
        <v>78.11872146118746</v>
      </c>
      <c r="T54" s="189">
        <v>16.024353120243532</v>
      </c>
      <c r="U54" s="189">
        <v>0</v>
      </c>
      <c r="V54" s="189">
        <v>0</v>
      </c>
      <c r="W54" s="189">
        <v>46.99999999999998</v>
      </c>
      <c r="X54" s="189">
        <v>0</v>
      </c>
      <c r="Y54" s="189">
        <v>169.78693146579076</v>
      </c>
      <c r="Z54" s="189">
        <v>0</v>
      </c>
      <c r="AA54" s="244">
        <v>6.200000000000125</v>
      </c>
      <c r="AB54" s="253">
        <v>0</v>
      </c>
      <c r="AC54" s="190">
        <v>2106999.878848103</v>
      </c>
      <c r="AD54" s="190">
        <v>698791.6808108131</v>
      </c>
      <c r="AE54" s="190">
        <v>0</v>
      </c>
      <c r="AF54" s="190">
        <v>349904.825816</v>
      </c>
      <c r="AG54" s="190">
        <v>0</v>
      </c>
      <c r="AH54" s="190">
        <v>0</v>
      </c>
      <c r="AI54" s="190">
        <v>0</v>
      </c>
      <c r="AJ54" s="190">
        <v>0</v>
      </c>
      <c r="AK54" s="190">
        <v>0</v>
      </c>
      <c r="AL54" s="190">
        <v>0</v>
      </c>
      <c r="AM54" s="190">
        <v>14344.810624048705</v>
      </c>
      <c r="AN54" s="190">
        <v>19913.972395738245</v>
      </c>
      <c r="AO54" s="190">
        <v>33414.970630136915</v>
      </c>
      <c r="AP54" s="190">
        <v>26326.880739711316</v>
      </c>
      <c r="AQ54" s="190">
        <v>6750.482240951598</v>
      </c>
      <c r="AR54" s="190">
        <v>0</v>
      </c>
      <c r="AS54" s="189">
        <v>0</v>
      </c>
      <c r="AT54" s="189">
        <v>52341.07999999998</v>
      </c>
      <c r="AU54" s="190">
        <v>0</v>
      </c>
      <c r="AV54" s="190">
        <v>280148.43691855477</v>
      </c>
      <c r="AW54" s="190">
        <v>0</v>
      </c>
      <c r="AX54" s="190">
        <v>7440.00000000015</v>
      </c>
      <c r="AY54" s="190">
        <v>140000</v>
      </c>
      <c r="AZ54" s="191">
        <v>69768</v>
      </c>
      <c r="BA54" s="191">
        <v>62068.8</v>
      </c>
      <c r="BB54" s="190">
        <v>0</v>
      </c>
      <c r="BC54" s="190">
        <v>0</v>
      </c>
      <c r="BD54" s="268">
        <v>0</v>
      </c>
      <c r="BE54" s="253">
        <v>2805791.5596589157</v>
      </c>
      <c r="BF54" s="190">
        <v>790585.4593651417</v>
      </c>
      <c r="BG54" s="190">
        <v>271836.8</v>
      </c>
      <c r="BH54" s="190">
        <v>280148.43691855477</v>
      </c>
      <c r="BI54" s="218">
        <f t="shared" si="0"/>
        <v>3868213.819024057</v>
      </c>
      <c r="BJ54" s="190">
        <v>0</v>
      </c>
      <c r="BK54" s="190">
        <v>3868213.8190240567</v>
      </c>
      <c r="BL54" s="190">
        <v>3596377.0190240573</v>
      </c>
      <c r="BM54" s="190">
        <v>5465.618569945376</v>
      </c>
      <c r="BN54" s="190">
        <v>5418.853703483606</v>
      </c>
      <c r="BO54" s="219">
        <v>0.008630029342129383</v>
      </c>
      <c r="BP54" s="220">
        <v>0</v>
      </c>
      <c r="BQ54" s="268">
        <v>0</v>
      </c>
      <c r="BR54" s="266">
        <v>3868213.819024057</v>
      </c>
      <c r="BS54" s="238">
        <v>-1441.02</v>
      </c>
      <c r="BT54" s="254">
        <v>-802.76</v>
      </c>
      <c r="BU54" s="272">
        <v>3865970.0390240573</v>
      </c>
      <c r="BV54" s="10"/>
      <c r="BW54" s="228"/>
      <c r="BX54" s="188"/>
      <c r="BY54" s="188">
        <v>126698</v>
      </c>
      <c r="BZ54" s="188"/>
      <c r="CA54" s="229">
        <v>126641</v>
      </c>
      <c r="CC54" s="235">
        <v>185597.5</v>
      </c>
      <c r="CD54" s="224">
        <v>2100</v>
      </c>
      <c r="CE54" s="224">
        <v>0</v>
      </c>
      <c r="CF54" s="224"/>
      <c r="CG54" s="224"/>
      <c r="CH54" s="224">
        <v>12758</v>
      </c>
      <c r="CI54" s="224">
        <v>141032</v>
      </c>
      <c r="CJ54" s="229">
        <v>184366</v>
      </c>
      <c r="CK54" s="2"/>
    </row>
    <row r="55" spans="1:89" ht="15">
      <c r="A55" s="243">
        <v>5411</v>
      </c>
      <c r="B55" s="196" t="s">
        <v>131</v>
      </c>
      <c r="C55" s="189">
        <v>986</v>
      </c>
      <c r="D55" s="189">
        <v>0</v>
      </c>
      <c r="E55" s="189">
        <v>986</v>
      </c>
      <c r="F55" s="189">
        <v>614</v>
      </c>
      <c r="G55" s="189">
        <v>372</v>
      </c>
      <c r="H55" s="189">
        <v>0</v>
      </c>
      <c r="I55" s="189">
        <v>443.5470527404343</v>
      </c>
      <c r="J55" s="189">
        <v>0</v>
      </c>
      <c r="K55" s="189">
        <v>0</v>
      </c>
      <c r="L55" s="189">
        <v>0</v>
      </c>
      <c r="M55" s="189">
        <v>0</v>
      </c>
      <c r="N55" s="189">
        <v>0</v>
      </c>
      <c r="O55" s="189">
        <v>0</v>
      </c>
      <c r="P55" s="189">
        <v>353.35837563451724</v>
      </c>
      <c r="Q55" s="189">
        <v>187.18984771573642</v>
      </c>
      <c r="R55" s="189">
        <v>150.1522842639595</v>
      </c>
      <c r="S55" s="189">
        <v>112.11370558375617</v>
      </c>
      <c r="T55" s="189">
        <v>12.012182741116781</v>
      </c>
      <c r="U55" s="189">
        <v>0</v>
      </c>
      <c r="V55" s="189">
        <v>0</v>
      </c>
      <c r="W55" s="189">
        <v>162.65987780040734</v>
      </c>
      <c r="X55" s="189">
        <v>0</v>
      </c>
      <c r="Y55" s="189">
        <v>315.1025093592085</v>
      </c>
      <c r="Z55" s="189">
        <v>0</v>
      </c>
      <c r="AA55" s="244">
        <v>46.40000000000022</v>
      </c>
      <c r="AB55" s="253">
        <v>0</v>
      </c>
      <c r="AC55" s="190">
        <v>2536662.599240657</v>
      </c>
      <c r="AD55" s="190">
        <v>1756422.3328488006</v>
      </c>
      <c r="AE55" s="190">
        <v>0</v>
      </c>
      <c r="AF55" s="190">
        <v>583824.5742812823</v>
      </c>
      <c r="AG55" s="190">
        <v>0</v>
      </c>
      <c r="AH55" s="190">
        <v>0</v>
      </c>
      <c r="AI55" s="190">
        <v>0</v>
      </c>
      <c r="AJ55" s="190">
        <v>0</v>
      </c>
      <c r="AK55" s="190">
        <v>0</v>
      </c>
      <c r="AL55" s="190">
        <v>0</v>
      </c>
      <c r="AM55" s="190">
        <v>29771.50322233498</v>
      </c>
      <c r="AN55" s="190">
        <v>31542.612479187883</v>
      </c>
      <c r="AO55" s="190">
        <v>37952.341218274145</v>
      </c>
      <c r="AP55" s="190">
        <v>37783.56968703247</v>
      </c>
      <c r="AQ55" s="190">
        <v>5060.299511656155</v>
      </c>
      <c r="AR55" s="190">
        <v>0</v>
      </c>
      <c r="AS55" s="189">
        <v>0</v>
      </c>
      <c r="AT55" s="189">
        <v>181144.54631364564</v>
      </c>
      <c r="AU55" s="190">
        <v>0</v>
      </c>
      <c r="AV55" s="190">
        <v>519919.1404426941</v>
      </c>
      <c r="AW55" s="190">
        <v>0</v>
      </c>
      <c r="AX55" s="190">
        <v>55680.00000000026</v>
      </c>
      <c r="AY55" s="190">
        <v>140000</v>
      </c>
      <c r="AZ55" s="191">
        <v>34250</v>
      </c>
      <c r="BA55" s="191">
        <v>7088.2</v>
      </c>
      <c r="BB55" s="190">
        <v>0</v>
      </c>
      <c r="BC55" s="190">
        <v>0</v>
      </c>
      <c r="BD55" s="268">
        <v>0</v>
      </c>
      <c r="BE55" s="253">
        <v>4293084.932089457</v>
      </c>
      <c r="BF55" s="190">
        <v>1482678.5871561079</v>
      </c>
      <c r="BG55" s="190">
        <v>181338.2</v>
      </c>
      <c r="BH55" s="190">
        <v>519919.1404426941</v>
      </c>
      <c r="BI55" s="218">
        <f t="shared" si="0"/>
        <v>5957101.719245565</v>
      </c>
      <c r="BJ55" s="190">
        <v>0</v>
      </c>
      <c r="BK55" s="190">
        <v>5957101.719245565</v>
      </c>
      <c r="BL55" s="190">
        <v>5775763.519245565</v>
      </c>
      <c r="BM55" s="190">
        <v>5857.772331892053</v>
      </c>
      <c r="BN55" s="190">
        <v>5963.6296558494405</v>
      </c>
      <c r="BO55" s="219">
        <v>-0.017750485872904037</v>
      </c>
      <c r="BP55" s="220">
        <v>0.0027504858729040377</v>
      </c>
      <c r="BQ55" s="268">
        <v>16173.23881197042</v>
      </c>
      <c r="BR55" s="266">
        <v>5973274.958057536</v>
      </c>
      <c r="BS55" s="238">
        <v>-2159.34</v>
      </c>
      <c r="BT55" s="254">
        <v>-1202.92</v>
      </c>
      <c r="BU55" s="272">
        <v>5969912.698057536</v>
      </c>
      <c r="BV55" s="10"/>
      <c r="BW55" s="228"/>
      <c r="BX55" s="188"/>
      <c r="BY55" s="188"/>
      <c r="BZ55" s="188"/>
      <c r="CA55" s="229">
        <v>70175</v>
      </c>
      <c r="CC55" s="235">
        <v>406725</v>
      </c>
      <c r="CD55" s="224">
        <v>0</v>
      </c>
      <c r="CE55" s="224">
        <v>0</v>
      </c>
      <c r="CF55" s="224"/>
      <c r="CG55" s="224"/>
      <c r="CH55" s="224">
        <v>23907</v>
      </c>
      <c r="CI55" s="224">
        <v>319694</v>
      </c>
      <c r="CJ55" s="229">
        <v>587218</v>
      </c>
      <c r="CK55" s="2"/>
    </row>
    <row r="56" spans="1:88" ht="15">
      <c r="A56" s="243">
        <v>2001</v>
      </c>
      <c r="B56" s="187" t="s">
        <v>154</v>
      </c>
      <c r="C56" s="189">
        <v>543</v>
      </c>
      <c r="D56" s="189">
        <v>543</v>
      </c>
      <c r="E56" s="189">
        <v>0</v>
      </c>
      <c r="F56" s="189">
        <v>0</v>
      </c>
      <c r="G56" s="189">
        <v>0</v>
      </c>
      <c r="H56" s="189">
        <v>161.32608695652172</v>
      </c>
      <c r="I56" s="189">
        <v>0</v>
      </c>
      <c r="J56" s="189">
        <v>144.00000000000009</v>
      </c>
      <c r="K56" s="189">
        <v>66.00000000000009</v>
      </c>
      <c r="L56" s="189">
        <v>81.99999999999997</v>
      </c>
      <c r="M56" s="189">
        <v>167.99999999999991</v>
      </c>
      <c r="N56" s="189">
        <v>23</v>
      </c>
      <c r="O56" s="189">
        <v>0</v>
      </c>
      <c r="P56" s="189">
        <v>0</v>
      </c>
      <c r="Q56" s="189">
        <v>0</v>
      </c>
      <c r="R56" s="189">
        <v>0</v>
      </c>
      <c r="S56" s="189">
        <v>0</v>
      </c>
      <c r="T56" s="189">
        <v>0</v>
      </c>
      <c r="U56" s="189">
        <v>0</v>
      </c>
      <c r="V56" s="189">
        <v>175.8171806167403</v>
      </c>
      <c r="W56" s="189">
        <v>0</v>
      </c>
      <c r="X56" s="189">
        <v>171.06443914081146</v>
      </c>
      <c r="Y56" s="189">
        <v>0</v>
      </c>
      <c r="Z56" s="189">
        <v>13.700000000000065</v>
      </c>
      <c r="AA56" s="244">
        <v>0</v>
      </c>
      <c r="AB56" s="253">
        <v>1730088.5613589513</v>
      </c>
      <c r="AC56" s="190">
        <v>0</v>
      </c>
      <c r="AD56" s="190">
        <v>0</v>
      </c>
      <c r="AE56" s="190">
        <v>163344.27630434782</v>
      </c>
      <c r="AF56" s="190">
        <v>0</v>
      </c>
      <c r="AG56" s="190">
        <v>9332.640000000007</v>
      </c>
      <c r="AH56" s="190">
        <v>8554.920000000011</v>
      </c>
      <c r="AI56" s="190">
        <v>15943.259999999995</v>
      </c>
      <c r="AJ56" s="190">
        <v>43552.21111919997</v>
      </c>
      <c r="AK56" s="190">
        <v>7453.131367124999</v>
      </c>
      <c r="AL56" s="190">
        <v>0</v>
      </c>
      <c r="AM56" s="190">
        <v>0</v>
      </c>
      <c r="AN56" s="190">
        <v>0</v>
      </c>
      <c r="AO56" s="190">
        <v>0</v>
      </c>
      <c r="AP56" s="190">
        <v>0</v>
      </c>
      <c r="AQ56" s="190">
        <v>0</v>
      </c>
      <c r="AR56" s="190">
        <v>0</v>
      </c>
      <c r="AS56" s="189">
        <v>129942.96185022042</v>
      </c>
      <c r="AT56" s="189">
        <v>0</v>
      </c>
      <c r="AU56" s="190">
        <v>100928.01909307876</v>
      </c>
      <c r="AV56" s="190">
        <v>0</v>
      </c>
      <c r="AW56" s="190">
        <v>10960.000000000053</v>
      </c>
      <c r="AX56" s="190">
        <v>0</v>
      </c>
      <c r="AY56" s="190">
        <v>140000</v>
      </c>
      <c r="AZ56" s="191">
        <v>11000</v>
      </c>
      <c r="BA56" s="191">
        <v>286</v>
      </c>
      <c r="BB56" s="190">
        <v>0</v>
      </c>
      <c r="BC56" s="190">
        <v>0</v>
      </c>
      <c r="BD56" s="268">
        <v>0</v>
      </c>
      <c r="BE56" s="253">
        <v>1730088.5613589513</v>
      </c>
      <c r="BF56" s="190">
        <v>490011.4197339721</v>
      </c>
      <c r="BG56" s="190">
        <v>151286</v>
      </c>
      <c r="BH56" s="190">
        <v>100928.01909307876</v>
      </c>
      <c r="BI56" s="218">
        <f t="shared" si="0"/>
        <v>2371385.9810929233</v>
      </c>
      <c r="BJ56" s="190">
        <v>2371385.981092923</v>
      </c>
      <c r="BK56" s="190">
        <v>0</v>
      </c>
      <c r="BL56" s="190">
        <v>2220099.9810929233</v>
      </c>
      <c r="BM56" s="190">
        <v>4088.5819172982015</v>
      </c>
      <c r="BN56" s="190">
        <v>4104.264369636364</v>
      </c>
      <c r="BO56" s="219">
        <v>-0.003821014175934256</v>
      </c>
      <c r="BP56" s="220">
        <v>0</v>
      </c>
      <c r="BQ56" s="268">
        <v>0</v>
      </c>
      <c r="BR56" s="266">
        <v>2371385.9810929233</v>
      </c>
      <c r="BS56" s="238">
        <v>0</v>
      </c>
      <c r="BT56" s="254">
        <v>0</v>
      </c>
      <c r="BU56" s="272">
        <v>2371385.9810929233</v>
      </c>
      <c r="BV56" s="10"/>
      <c r="BW56" s="228">
        <v>200627.80694516416</v>
      </c>
      <c r="BX56" s="188">
        <v>52646.39906027613</v>
      </c>
      <c r="BY56" s="188"/>
      <c r="BZ56" s="188"/>
      <c r="CA56" s="229">
        <v>76042</v>
      </c>
      <c r="CC56" s="235"/>
      <c r="CD56" s="224"/>
      <c r="CE56" s="224"/>
      <c r="CF56" s="224"/>
      <c r="CG56" s="224"/>
      <c r="CH56" s="224"/>
      <c r="CI56" s="224"/>
      <c r="CJ56" s="229"/>
    </row>
    <row r="57" spans="1:88" ht="15">
      <c r="A57" s="243">
        <v>2002</v>
      </c>
      <c r="B57" s="187" t="s">
        <v>147</v>
      </c>
      <c r="C57" s="189">
        <v>362</v>
      </c>
      <c r="D57" s="189">
        <v>362</v>
      </c>
      <c r="E57" s="189">
        <v>0</v>
      </c>
      <c r="F57" s="189">
        <v>0</v>
      </c>
      <c r="G57" s="189">
        <v>0</v>
      </c>
      <c r="H57" s="189">
        <v>117.38118811881189</v>
      </c>
      <c r="I57" s="189">
        <v>0</v>
      </c>
      <c r="J57" s="189">
        <v>40.000000000000085</v>
      </c>
      <c r="K57" s="189">
        <v>55.00000000000016</v>
      </c>
      <c r="L57" s="189">
        <v>82.99999999999996</v>
      </c>
      <c r="M57" s="189">
        <v>115.9999999999999</v>
      </c>
      <c r="N57" s="189">
        <v>24.000000000000014</v>
      </c>
      <c r="O57" s="189">
        <v>0</v>
      </c>
      <c r="P57" s="189">
        <v>0</v>
      </c>
      <c r="Q57" s="189">
        <v>0</v>
      </c>
      <c r="R57" s="189">
        <v>0</v>
      </c>
      <c r="S57" s="189">
        <v>0</v>
      </c>
      <c r="T57" s="189">
        <v>0</v>
      </c>
      <c r="U57" s="189">
        <v>0</v>
      </c>
      <c r="V57" s="189">
        <v>176.8459016393441</v>
      </c>
      <c r="W57" s="189">
        <v>0</v>
      </c>
      <c r="X57" s="189">
        <v>135.09420289855055</v>
      </c>
      <c r="Y57" s="189">
        <v>0</v>
      </c>
      <c r="Z57" s="189">
        <v>7.800000000000051</v>
      </c>
      <c r="AA57" s="244">
        <v>0</v>
      </c>
      <c r="AB57" s="253">
        <v>1153392.3742393008</v>
      </c>
      <c r="AC57" s="190">
        <v>0</v>
      </c>
      <c r="AD57" s="190">
        <v>0</v>
      </c>
      <c r="AE57" s="190">
        <v>118849.62678217822</v>
      </c>
      <c r="AF57" s="190">
        <v>0</v>
      </c>
      <c r="AG57" s="190">
        <v>2592.4000000000055</v>
      </c>
      <c r="AH57" s="190">
        <v>7129.100000000021</v>
      </c>
      <c r="AI57" s="190">
        <v>16137.689999999991</v>
      </c>
      <c r="AJ57" s="190">
        <v>30071.76482039997</v>
      </c>
      <c r="AK57" s="190">
        <v>7777.180557000004</v>
      </c>
      <c r="AL57" s="190">
        <v>0</v>
      </c>
      <c r="AM57" s="190">
        <v>0</v>
      </c>
      <c r="AN57" s="190">
        <v>0</v>
      </c>
      <c r="AO57" s="190">
        <v>0</v>
      </c>
      <c r="AP57" s="190">
        <v>0</v>
      </c>
      <c r="AQ57" s="190">
        <v>0</v>
      </c>
      <c r="AR57" s="190">
        <v>0</v>
      </c>
      <c r="AS57" s="189">
        <v>130703.26898360645</v>
      </c>
      <c r="AT57" s="189">
        <v>0</v>
      </c>
      <c r="AU57" s="190">
        <v>79705.57971014483</v>
      </c>
      <c r="AV57" s="190">
        <v>0</v>
      </c>
      <c r="AW57" s="190">
        <v>6240.000000000041</v>
      </c>
      <c r="AX57" s="190">
        <v>0</v>
      </c>
      <c r="AY57" s="190">
        <v>140000</v>
      </c>
      <c r="AZ57" s="191">
        <v>13400</v>
      </c>
      <c r="BA57" s="191">
        <v>-53251.6</v>
      </c>
      <c r="BB57" s="190">
        <v>0</v>
      </c>
      <c r="BC57" s="190">
        <v>0</v>
      </c>
      <c r="BD57" s="268">
        <v>0</v>
      </c>
      <c r="BE57" s="253">
        <v>1153392.3742393008</v>
      </c>
      <c r="BF57" s="190">
        <v>399206.6108533296</v>
      </c>
      <c r="BG57" s="190">
        <v>100148.4</v>
      </c>
      <c r="BH57" s="190">
        <v>79705.57971014483</v>
      </c>
      <c r="BI57" s="218">
        <f t="shared" si="0"/>
        <v>1652747.3850926303</v>
      </c>
      <c r="BJ57" s="190">
        <v>1652747.38509263</v>
      </c>
      <c r="BK57" s="190">
        <v>0</v>
      </c>
      <c r="BL57" s="190">
        <v>1552598.9850926304</v>
      </c>
      <c r="BM57" s="190">
        <v>4288.947472631576</v>
      </c>
      <c r="BN57" s="190">
        <v>4292.341977990431</v>
      </c>
      <c r="BO57" s="219">
        <v>-0.0007908282649101062</v>
      </c>
      <c r="BP57" s="220">
        <v>0</v>
      </c>
      <c r="BQ57" s="268">
        <v>0</v>
      </c>
      <c r="BR57" s="266">
        <v>1652747.3850926303</v>
      </c>
      <c r="BS57" s="238">
        <v>0</v>
      </c>
      <c r="BT57" s="254">
        <v>0</v>
      </c>
      <c r="BU57" s="272">
        <v>1652747.3850926303</v>
      </c>
      <c r="BV57" s="10"/>
      <c r="BW57" s="228">
        <v>137153.80874895133</v>
      </c>
      <c r="BX57" s="188">
        <v>0</v>
      </c>
      <c r="BY57" s="188"/>
      <c r="BZ57" s="188"/>
      <c r="CA57" s="229">
        <v>21100</v>
      </c>
      <c r="CC57" s="235"/>
      <c r="CD57" s="224"/>
      <c r="CE57" s="224"/>
      <c r="CF57" s="224"/>
      <c r="CG57" s="224"/>
      <c r="CH57" s="224"/>
      <c r="CI57" s="224"/>
      <c r="CJ57" s="229"/>
    </row>
    <row r="58" spans="1:88" ht="15">
      <c r="A58" s="243">
        <v>2011</v>
      </c>
      <c r="B58" s="196" t="s">
        <v>9</v>
      </c>
      <c r="C58" s="189">
        <v>307</v>
      </c>
      <c r="D58" s="189">
        <v>307</v>
      </c>
      <c r="E58" s="189">
        <v>0</v>
      </c>
      <c r="F58" s="189">
        <v>0</v>
      </c>
      <c r="G58" s="189">
        <v>0</v>
      </c>
      <c r="H58" s="189">
        <v>77.50491803278689</v>
      </c>
      <c r="I58" s="189">
        <v>0</v>
      </c>
      <c r="J58" s="189">
        <v>6.000000000000007</v>
      </c>
      <c r="K58" s="189">
        <v>92.99999999999994</v>
      </c>
      <c r="L58" s="189">
        <v>5.000000000000011</v>
      </c>
      <c r="M58" s="189">
        <v>6.000000000000007</v>
      </c>
      <c r="N58" s="189">
        <v>0</v>
      </c>
      <c r="O58" s="189">
        <v>0</v>
      </c>
      <c r="P58" s="189">
        <v>0</v>
      </c>
      <c r="Q58" s="189">
        <v>0</v>
      </c>
      <c r="R58" s="189">
        <v>0</v>
      </c>
      <c r="S58" s="189">
        <v>0</v>
      </c>
      <c r="T58" s="189">
        <v>0</v>
      </c>
      <c r="U58" s="189">
        <v>0</v>
      </c>
      <c r="V58" s="189">
        <v>22.000000000000007</v>
      </c>
      <c r="W58" s="189">
        <v>0</v>
      </c>
      <c r="X58" s="189">
        <v>140.5791245791246</v>
      </c>
      <c r="Y58" s="189">
        <v>0</v>
      </c>
      <c r="Z58" s="189">
        <v>0</v>
      </c>
      <c r="AA58" s="244">
        <v>0</v>
      </c>
      <c r="AB58" s="253">
        <v>978153.2013576392</v>
      </c>
      <c r="AC58" s="190">
        <v>0</v>
      </c>
      <c r="AD58" s="190">
        <v>0</v>
      </c>
      <c r="AE58" s="190">
        <v>78474.50455737705</v>
      </c>
      <c r="AF58" s="190">
        <v>0</v>
      </c>
      <c r="AG58" s="190">
        <v>388.86000000000047</v>
      </c>
      <c r="AH58" s="190">
        <v>12054.659999999993</v>
      </c>
      <c r="AI58" s="190">
        <v>972.1500000000021</v>
      </c>
      <c r="AJ58" s="190">
        <v>1555.4361114000017</v>
      </c>
      <c r="AK58" s="190">
        <v>0</v>
      </c>
      <c r="AL58" s="190">
        <v>0</v>
      </c>
      <c r="AM58" s="190">
        <v>0</v>
      </c>
      <c r="AN58" s="190">
        <v>0</v>
      </c>
      <c r="AO58" s="190">
        <v>0</v>
      </c>
      <c r="AP58" s="190">
        <v>0</v>
      </c>
      <c r="AQ58" s="190">
        <v>0</v>
      </c>
      <c r="AR58" s="190">
        <v>0</v>
      </c>
      <c r="AS58" s="189">
        <v>16259.760000000006</v>
      </c>
      <c r="AT58" s="189">
        <v>0</v>
      </c>
      <c r="AU58" s="190">
        <v>82941.68350168351</v>
      </c>
      <c r="AV58" s="190">
        <v>0</v>
      </c>
      <c r="AW58" s="190">
        <v>0</v>
      </c>
      <c r="AX58" s="190">
        <v>0</v>
      </c>
      <c r="AY58" s="190">
        <v>140000</v>
      </c>
      <c r="AZ58" s="191">
        <v>6000</v>
      </c>
      <c r="BA58" s="191">
        <v>162.5</v>
      </c>
      <c r="BB58" s="190">
        <v>0</v>
      </c>
      <c r="BC58" s="190">
        <v>0</v>
      </c>
      <c r="BD58" s="268">
        <v>0</v>
      </c>
      <c r="BE58" s="253">
        <v>978153.2013576392</v>
      </c>
      <c r="BF58" s="190">
        <v>192647.05417046056</v>
      </c>
      <c r="BG58" s="190">
        <v>146162.5</v>
      </c>
      <c r="BH58" s="190">
        <v>82941.68350168351</v>
      </c>
      <c r="BI58" s="218">
        <f t="shared" si="0"/>
        <v>1316962.7555280998</v>
      </c>
      <c r="BJ58" s="190">
        <v>1316962.7555280994</v>
      </c>
      <c r="BK58" s="190">
        <v>0</v>
      </c>
      <c r="BL58" s="190">
        <v>1170800.2555280998</v>
      </c>
      <c r="BM58" s="190">
        <v>3813.681614098045</v>
      </c>
      <c r="BN58" s="190">
        <v>3768.6647705882356</v>
      </c>
      <c r="BO58" s="219">
        <v>0.01194503789807309</v>
      </c>
      <c r="BP58" s="220">
        <v>0</v>
      </c>
      <c r="BQ58" s="268">
        <v>0</v>
      </c>
      <c r="BR58" s="266">
        <v>1316962.7555280998</v>
      </c>
      <c r="BS58" s="238">
        <v>0</v>
      </c>
      <c r="BT58" s="254">
        <v>0</v>
      </c>
      <c r="BU58" s="272">
        <v>1316962.7555280998</v>
      </c>
      <c r="BV58" s="10"/>
      <c r="BW58" s="228"/>
      <c r="BX58" s="188"/>
      <c r="BY58" s="188"/>
      <c r="BZ58" s="188"/>
      <c r="CA58" s="229">
        <v>53326</v>
      </c>
      <c r="CC58" s="235"/>
      <c r="CD58" s="224"/>
      <c r="CE58" s="224"/>
      <c r="CF58" s="224"/>
      <c r="CG58" s="224"/>
      <c r="CH58" s="224"/>
      <c r="CI58" s="224"/>
      <c r="CJ58" s="229"/>
    </row>
    <row r="59" spans="1:88" ht="15">
      <c r="A59" s="243">
        <v>2017</v>
      </c>
      <c r="B59" s="196" t="s">
        <v>16</v>
      </c>
      <c r="C59" s="189">
        <v>328</v>
      </c>
      <c r="D59" s="189">
        <v>328</v>
      </c>
      <c r="E59" s="189">
        <v>0</v>
      </c>
      <c r="F59" s="189">
        <v>0</v>
      </c>
      <c r="G59" s="189">
        <v>0</v>
      </c>
      <c r="H59" s="189">
        <v>150.82548476454292</v>
      </c>
      <c r="I59" s="189">
        <v>0</v>
      </c>
      <c r="J59" s="189">
        <v>25.999999999999993</v>
      </c>
      <c r="K59" s="189">
        <v>25.000000000000018</v>
      </c>
      <c r="L59" s="189">
        <v>21.999999999999993</v>
      </c>
      <c r="M59" s="189">
        <v>148.00000000000003</v>
      </c>
      <c r="N59" s="189">
        <v>51.00000000000007</v>
      </c>
      <c r="O59" s="189">
        <v>0</v>
      </c>
      <c r="P59" s="189">
        <v>0</v>
      </c>
      <c r="Q59" s="189">
        <v>0</v>
      </c>
      <c r="R59" s="189">
        <v>0</v>
      </c>
      <c r="S59" s="189">
        <v>0</v>
      </c>
      <c r="T59" s="189">
        <v>0</v>
      </c>
      <c r="U59" s="189">
        <v>0</v>
      </c>
      <c r="V59" s="189">
        <v>96.47058823529427</v>
      </c>
      <c r="W59" s="189">
        <v>0</v>
      </c>
      <c r="X59" s="189">
        <v>125.84489795918364</v>
      </c>
      <c r="Y59" s="189">
        <v>0</v>
      </c>
      <c r="Z59" s="189">
        <v>34.20000000000006</v>
      </c>
      <c r="AA59" s="244">
        <v>0</v>
      </c>
      <c r="AB59" s="253">
        <v>1045062.7037306372</v>
      </c>
      <c r="AC59" s="190">
        <v>0</v>
      </c>
      <c r="AD59" s="190">
        <v>0</v>
      </c>
      <c r="AE59" s="190">
        <v>152712.31157894735</v>
      </c>
      <c r="AF59" s="190">
        <v>0</v>
      </c>
      <c r="AG59" s="190">
        <v>1685.0599999999995</v>
      </c>
      <c r="AH59" s="190">
        <v>3240.5000000000023</v>
      </c>
      <c r="AI59" s="190">
        <v>4277.459999999999</v>
      </c>
      <c r="AJ59" s="190">
        <v>38367.424081200006</v>
      </c>
      <c r="AK59" s="190">
        <v>16526.508683625023</v>
      </c>
      <c r="AL59" s="190">
        <v>0</v>
      </c>
      <c r="AM59" s="190">
        <v>0</v>
      </c>
      <c r="AN59" s="190">
        <v>0</v>
      </c>
      <c r="AO59" s="190">
        <v>0</v>
      </c>
      <c r="AP59" s="190">
        <v>0</v>
      </c>
      <c r="AQ59" s="190">
        <v>0</v>
      </c>
      <c r="AR59" s="190">
        <v>0</v>
      </c>
      <c r="AS59" s="189">
        <v>71299.4823529413</v>
      </c>
      <c r="AT59" s="189">
        <v>0</v>
      </c>
      <c r="AU59" s="190">
        <v>74248.48979591834</v>
      </c>
      <c r="AV59" s="190">
        <v>0</v>
      </c>
      <c r="AW59" s="190">
        <v>27360.000000000047</v>
      </c>
      <c r="AX59" s="190">
        <v>0</v>
      </c>
      <c r="AY59" s="190">
        <v>140000</v>
      </c>
      <c r="AZ59" s="191">
        <v>8304</v>
      </c>
      <c r="BA59" s="191">
        <v>-3330.45</v>
      </c>
      <c r="BB59" s="190">
        <v>0</v>
      </c>
      <c r="BC59" s="190">
        <v>0</v>
      </c>
      <c r="BD59" s="268">
        <v>0</v>
      </c>
      <c r="BE59" s="253">
        <v>1045062.7037306372</v>
      </c>
      <c r="BF59" s="190">
        <v>389717.2364926321</v>
      </c>
      <c r="BG59" s="190">
        <v>144973.55</v>
      </c>
      <c r="BH59" s="190">
        <v>74248.48979591834</v>
      </c>
      <c r="BI59" s="218">
        <f t="shared" si="0"/>
        <v>1579753.4902232692</v>
      </c>
      <c r="BJ59" s="190">
        <v>1579753.4902232692</v>
      </c>
      <c r="BK59" s="190">
        <v>0</v>
      </c>
      <c r="BL59" s="190">
        <v>1434779.9402232692</v>
      </c>
      <c r="BM59" s="190">
        <v>4374.329086046552</v>
      </c>
      <c r="BN59" s="190">
        <v>4589.5844080862535</v>
      </c>
      <c r="BO59" s="219">
        <v>-0.0469008308596415</v>
      </c>
      <c r="BP59" s="220">
        <v>0.0319008308596415</v>
      </c>
      <c r="BQ59" s="268">
        <v>48022.99034123764</v>
      </c>
      <c r="BR59" s="266">
        <v>1627776.480564507</v>
      </c>
      <c r="BS59" s="238">
        <v>0</v>
      </c>
      <c r="BT59" s="254">
        <v>0</v>
      </c>
      <c r="BU59" s="272">
        <v>1627776.480564507</v>
      </c>
      <c r="BV59" s="10"/>
      <c r="BW59" s="228">
        <v>136150.91512285787</v>
      </c>
      <c r="BX59" s="188">
        <v>13215.159066841887</v>
      </c>
      <c r="BY59" s="188"/>
      <c r="BZ59" s="188"/>
      <c r="CA59" s="229">
        <v>63929</v>
      </c>
      <c r="CC59" s="235"/>
      <c r="CD59" s="224"/>
      <c r="CE59" s="224"/>
      <c r="CF59" s="224"/>
      <c r="CG59" s="224"/>
      <c r="CH59" s="224"/>
      <c r="CI59" s="224"/>
      <c r="CJ59" s="229"/>
    </row>
    <row r="60" spans="1:88" ht="15">
      <c r="A60" s="243">
        <v>2021</v>
      </c>
      <c r="B60" s="217" t="s">
        <v>148</v>
      </c>
      <c r="C60" s="189">
        <v>388</v>
      </c>
      <c r="D60" s="189">
        <v>388</v>
      </c>
      <c r="E60" s="189">
        <v>0</v>
      </c>
      <c r="F60" s="189">
        <v>0</v>
      </c>
      <c r="G60" s="189">
        <v>0</v>
      </c>
      <c r="H60" s="189">
        <v>89.16161616161617</v>
      </c>
      <c r="I60" s="189">
        <v>0</v>
      </c>
      <c r="J60" s="189">
        <v>97.2506459948319</v>
      </c>
      <c r="K60" s="189">
        <v>113.29198966408256</v>
      </c>
      <c r="L60" s="189">
        <v>69.17829457364347</v>
      </c>
      <c r="M60" s="189">
        <v>13.033591731266162</v>
      </c>
      <c r="N60" s="189">
        <v>6.015503875968974</v>
      </c>
      <c r="O60" s="189">
        <v>0</v>
      </c>
      <c r="P60" s="189">
        <v>0</v>
      </c>
      <c r="Q60" s="189">
        <v>0</v>
      </c>
      <c r="R60" s="189">
        <v>0</v>
      </c>
      <c r="S60" s="189">
        <v>0</v>
      </c>
      <c r="T60" s="189">
        <v>0</v>
      </c>
      <c r="U60" s="189">
        <v>0</v>
      </c>
      <c r="V60" s="189">
        <v>132.8606060606059</v>
      </c>
      <c r="W60" s="189">
        <v>0</v>
      </c>
      <c r="X60" s="189">
        <v>133.33333333333343</v>
      </c>
      <c r="Y60" s="189">
        <v>0</v>
      </c>
      <c r="Z60" s="189">
        <v>22.20000000000006</v>
      </c>
      <c r="AA60" s="244">
        <v>0</v>
      </c>
      <c r="AB60" s="253">
        <v>1236232.7105106318</v>
      </c>
      <c r="AC60" s="190">
        <v>0</v>
      </c>
      <c r="AD60" s="190">
        <v>0</v>
      </c>
      <c r="AE60" s="190">
        <v>90277.02797979799</v>
      </c>
      <c r="AF60" s="190">
        <v>0</v>
      </c>
      <c r="AG60" s="190">
        <v>6302.814366925056</v>
      </c>
      <c r="AH60" s="190">
        <v>14684.907700258382</v>
      </c>
      <c r="AI60" s="190">
        <v>13450.335813953501</v>
      </c>
      <c r="AJ60" s="190">
        <v>3378.8198733426384</v>
      </c>
      <c r="AK60" s="190">
        <v>1949.3191576976683</v>
      </c>
      <c r="AL60" s="190">
        <v>0</v>
      </c>
      <c r="AM60" s="190">
        <v>0</v>
      </c>
      <c r="AN60" s="190">
        <v>0</v>
      </c>
      <c r="AO60" s="190">
        <v>0</v>
      </c>
      <c r="AP60" s="190">
        <v>0</v>
      </c>
      <c r="AQ60" s="190">
        <v>0</v>
      </c>
      <c r="AR60" s="190">
        <v>0</v>
      </c>
      <c r="AS60" s="189">
        <v>98194.61672727262</v>
      </c>
      <c r="AT60" s="189">
        <v>0</v>
      </c>
      <c r="AU60" s="190">
        <v>78666.66666666673</v>
      </c>
      <c r="AV60" s="190">
        <v>0</v>
      </c>
      <c r="AW60" s="190">
        <v>17760.000000000047</v>
      </c>
      <c r="AX60" s="190">
        <v>0</v>
      </c>
      <c r="AY60" s="190">
        <v>140000</v>
      </c>
      <c r="AZ60" s="191">
        <v>0</v>
      </c>
      <c r="BA60" s="191">
        <v>0</v>
      </c>
      <c r="BB60" s="190">
        <v>0</v>
      </c>
      <c r="BC60" s="190">
        <v>0</v>
      </c>
      <c r="BD60" s="268">
        <v>0</v>
      </c>
      <c r="BE60" s="253">
        <v>1236232.7105106318</v>
      </c>
      <c r="BF60" s="190">
        <v>324664.50828591466</v>
      </c>
      <c r="BG60" s="190">
        <v>140000</v>
      </c>
      <c r="BH60" s="190">
        <v>78666.66666666673</v>
      </c>
      <c r="BI60" s="218">
        <f t="shared" si="0"/>
        <v>1700897.2187965466</v>
      </c>
      <c r="BJ60" s="190">
        <v>1700897.218796546</v>
      </c>
      <c r="BK60" s="190">
        <v>0</v>
      </c>
      <c r="BL60" s="190">
        <v>1560897.2187965466</v>
      </c>
      <c r="BM60" s="190">
        <v>4022.9309762797593</v>
      </c>
      <c r="BN60" s="190">
        <v>4157.846117171717</v>
      </c>
      <c r="BO60" s="219">
        <v>-0.03244832470705552</v>
      </c>
      <c r="BP60" s="220">
        <v>0.01744832470705552</v>
      </c>
      <c r="BQ60" s="268">
        <v>28148.410264140268</v>
      </c>
      <c r="BR60" s="266">
        <v>1729045.6290606868</v>
      </c>
      <c r="BS60" s="238">
        <v>0</v>
      </c>
      <c r="BT60" s="254">
        <v>0</v>
      </c>
      <c r="BU60" s="272">
        <v>1729045.6290606868</v>
      </c>
      <c r="BV60" s="10"/>
      <c r="BW60" s="228">
        <v>164160.00701474943</v>
      </c>
      <c r="BX60" s="188">
        <v>0</v>
      </c>
      <c r="BY60" s="188"/>
      <c r="BZ60" s="188"/>
      <c r="CA60" s="229">
        <v>6100</v>
      </c>
      <c r="CC60" s="235"/>
      <c r="CD60" s="224"/>
      <c r="CE60" s="224"/>
      <c r="CF60" s="224"/>
      <c r="CG60" s="224"/>
      <c r="CH60" s="224"/>
      <c r="CI60" s="224"/>
      <c r="CJ60" s="229"/>
    </row>
    <row r="61" spans="1:88" ht="15">
      <c r="A61" s="243">
        <v>2022</v>
      </c>
      <c r="B61" s="196" t="s">
        <v>138</v>
      </c>
      <c r="C61" s="189">
        <v>202</v>
      </c>
      <c r="D61" s="189">
        <v>202</v>
      </c>
      <c r="E61" s="189">
        <v>0</v>
      </c>
      <c r="F61" s="189">
        <v>0</v>
      </c>
      <c r="G61" s="189">
        <v>0</v>
      </c>
      <c r="H61" s="189">
        <v>18.363636363636363</v>
      </c>
      <c r="I61" s="189">
        <v>0</v>
      </c>
      <c r="J61" s="189">
        <v>56.99999999999996</v>
      </c>
      <c r="K61" s="189">
        <v>34.99999999999995</v>
      </c>
      <c r="L61" s="189">
        <v>36.999999999999964</v>
      </c>
      <c r="M61" s="189">
        <v>6</v>
      </c>
      <c r="N61" s="189">
        <v>7.000000000000009</v>
      </c>
      <c r="O61" s="189">
        <v>0</v>
      </c>
      <c r="P61" s="189">
        <v>0</v>
      </c>
      <c r="Q61" s="189">
        <v>0</v>
      </c>
      <c r="R61" s="189">
        <v>0</v>
      </c>
      <c r="S61" s="189">
        <v>0</v>
      </c>
      <c r="T61" s="189">
        <v>0</v>
      </c>
      <c r="U61" s="189">
        <v>0</v>
      </c>
      <c r="V61" s="189">
        <v>5.00000000000001</v>
      </c>
      <c r="W61" s="189">
        <v>0</v>
      </c>
      <c r="X61" s="189">
        <v>49.191709844559554</v>
      </c>
      <c r="Y61" s="189">
        <v>0</v>
      </c>
      <c r="Z61" s="189">
        <v>0</v>
      </c>
      <c r="AA61" s="244">
        <v>0</v>
      </c>
      <c r="AB61" s="253">
        <v>643605.6894926486</v>
      </c>
      <c r="AC61" s="190">
        <v>0</v>
      </c>
      <c r="AD61" s="190">
        <v>0</v>
      </c>
      <c r="AE61" s="190">
        <v>18593.365454545456</v>
      </c>
      <c r="AF61" s="190">
        <v>0</v>
      </c>
      <c r="AG61" s="190">
        <v>3694.1699999999973</v>
      </c>
      <c r="AH61" s="190">
        <v>4536.699999999993</v>
      </c>
      <c r="AI61" s="190">
        <v>7193.9099999999935</v>
      </c>
      <c r="AJ61" s="190">
        <v>1555.4361113999998</v>
      </c>
      <c r="AK61" s="190">
        <v>2268.344329125003</v>
      </c>
      <c r="AL61" s="190">
        <v>0</v>
      </c>
      <c r="AM61" s="190">
        <v>0</v>
      </c>
      <c r="AN61" s="190">
        <v>0</v>
      </c>
      <c r="AO61" s="190">
        <v>0</v>
      </c>
      <c r="AP61" s="190">
        <v>0</v>
      </c>
      <c r="AQ61" s="190">
        <v>0</v>
      </c>
      <c r="AR61" s="190">
        <v>0</v>
      </c>
      <c r="AS61" s="189">
        <v>3695.4000000000074</v>
      </c>
      <c r="AT61" s="189">
        <v>0</v>
      </c>
      <c r="AU61" s="190">
        <v>29023.108808290137</v>
      </c>
      <c r="AV61" s="190">
        <v>0</v>
      </c>
      <c r="AW61" s="190">
        <v>0</v>
      </c>
      <c r="AX61" s="190">
        <v>0</v>
      </c>
      <c r="AY61" s="190">
        <v>140000</v>
      </c>
      <c r="AZ61" s="191">
        <v>0</v>
      </c>
      <c r="BA61" s="191">
        <v>0</v>
      </c>
      <c r="BB61" s="190">
        <v>0</v>
      </c>
      <c r="BC61" s="190">
        <v>0</v>
      </c>
      <c r="BD61" s="268">
        <v>0</v>
      </c>
      <c r="BE61" s="253">
        <v>643605.6894926486</v>
      </c>
      <c r="BF61" s="190">
        <v>70560.43470336059</v>
      </c>
      <c r="BG61" s="190">
        <v>140000</v>
      </c>
      <c r="BH61" s="190">
        <v>29023.108808290137</v>
      </c>
      <c r="BI61" s="218">
        <f t="shared" si="0"/>
        <v>854166.1241960091</v>
      </c>
      <c r="BJ61" s="190">
        <v>854166.1241960092</v>
      </c>
      <c r="BK61" s="190">
        <v>0</v>
      </c>
      <c r="BL61" s="190">
        <v>714166.1241960091</v>
      </c>
      <c r="BM61" s="190">
        <v>3535.475862356481</v>
      </c>
      <c r="BN61" s="190">
        <v>3793.477380927835</v>
      </c>
      <c r="BO61" s="219">
        <v>-0.06801187740527673</v>
      </c>
      <c r="BP61" s="220">
        <v>0.05301187740527673</v>
      </c>
      <c r="BQ61" s="268">
        <v>40622.0702872022</v>
      </c>
      <c r="BR61" s="266">
        <v>894788.1944832114</v>
      </c>
      <c r="BS61" s="238">
        <v>0</v>
      </c>
      <c r="BT61" s="254">
        <v>0</v>
      </c>
      <c r="BU61" s="272">
        <v>894788.1944832114</v>
      </c>
      <c r="BV61" s="10"/>
      <c r="BW61" s="228"/>
      <c r="BX61" s="188"/>
      <c r="BY61" s="188"/>
      <c r="BZ61" s="188"/>
      <c r="CA61" s="229">
        <v>0</v>
      </c>
      <c r="CC61" s="235"/>
      <c r="CD61" s="224"/>
      <c r="CE61" s="224"/>
      <c r="CF61" s="224"/>
      <c r="CG61" s="224"/>
      <c r="CH61" s="224"/>
      <c r="CI61" s="224"/>
      <c r="CJ61" s="229"/>
    </row>
    <row r="62" spans="1:88" ht="15">
      <c r="A62" s="243">
        <v>2027</v>
      </c>
      <c r="B62" s="196" t="s">
        <v>136</v>
      </c>
      <c r="C62" s="189">
        <v>446.5</v>
      </c>
      <c r="D62" s="189">
        <v>446.5</v>
      </c>
      <c r="E62" s="189">
        <v>0</v>
      </c>
      <c r="F62" s="189">
        <v>0</v>
      </c>
      <c r="G62" s="189">
        <v>0</v>
      </c>
      <c r="H62" s="189">
        <v>23.5</v>
      </c>
      <c r="I62" s="189">
        <v>0</v>
      </c>
      <c r="J62" s="189">
        <v>124.65736040609124</v>
      </c>
      <c r="K62" s="189">
        <v>165.45431472081228</v>
      </c>
      <c r="L62" s="189">
        <v>29.464467005076123</v>
      </c>
      <c r="M62" s="189">
        <v>14.732233502538062</v>
      </c>
      <c r="N62" s="189">
        <v>0</v>
      </c>
      <c r="O62" s="189">
        <v>0</v>
      </c>
      <c r="P62" s="189">
        <v>0</v>
      </c>
      <c r="Q62" s="189">
        <v>0</v>
      </c>
      <c r="R62" s="189">
        <v>0</v>
      </c>
      <c r="S62" s="189">
        <v>0</v>
      </c>
      <c r="T62" s="189">
        <v>0</v>
      </c>
      <c r="U62" s="189">
        <v>0</v>
      </c>
      <c r="V62" s="189">
        <v>60.218750000000185</v>
      </c>
      <c r="W62" s="189">
        <v>0</v>
      </c>
      <c r="X62" s="189">
        <v>117.01379310344811</v>
      </c>
      <c r="Y62" s="189">
        <v>0</v>
      </c>
      <c r="Z62" s="189">
        <v>0</v>
      </c>
      <c r="AA62" s="244">
        <v>0</v>
      </c>
      <c r="AB62" s="253">
        <v>1422623.4671211266</v>
      </c>
      <c r="AC62" s="190">
        <v>0</v>
      </c>
      <c r="AD62" s="190">
        <v>0</v>
      </c>
      <c r="AE62" s="190">
        <v>23793.985</v>
      </c>
      <c r="AF62" s="190">
        <v>0</v>
      </c>
      <c r="AG62" s="190">
        <v>8079.043527918774</v>
      </c>
      <c r="AH62" s="190">
        <v>21446.18827411169</v>
      </c>
      <c r="AI62" s="190">
        <v>5728.776319796951</v>
      </c>
      <c r="AJ62" s="190">
        <v>3819.1746652374336</v>
      </c>
      <c r="AK62" s="190">
        <v>0</v>
      </c>
      <c r="AL62" s="190">
        <v>0</v>
      </c>
      <c r="AM62" s="190">
        <v>0</v>
      </c>
      <c r="AN62" s="190">
        <v>0</v>
      </c>
      <c r="AO62" s="190">
        <v>0</v>
      </c>
      <c r="AP62" s="190">
        <v>0</v>
      </c>
      <c r="AQ62" s="190">
        <v>0</v>
      </c>
      <c r="AR62" s="190">
        <v>0</v>
      </c>
      <c r="AS62" s="189">
        <v>44506.473750000136</v>
      </c>
      <c r="AT62" s="189">
        <v>0</v>
      </c>
      <c r="AU62" s="190">
        <v>69038.13793103439</v>
      </c>
      <c r="AV62" s="190">
        <v>0</v>
      </c>
      <c r="AW62" s="190">
        <v>0</v>
      </c>
      <c r="AX62" s="190">
        <v>0</v>
      </c>
      <c r="AY62" s="190">
        <v>140000</v>
      </c>
      <c r="AZ62" s="191">
        <v>20300</v>
      </c>
      <c r="BA62" s="191">
        <v>4300.34</v>
      </c>
      <c r="BB62" s="190">
        <v>0</v>
      </c>
      <c r="BC62" s="190">
        <v>0</v>
      </c>
      <c r="BD62" s="268">
        <v>-25000.26</v>
      </c>
      <c r="BE62" s="253">
        <v>1422623.4671211266</v>
      </c>
      <c r="BF62" s="190">
        <v>176411.77946809935</v>
      </c>
      <c r="BG62" s="190">
        <v>139600.08</v>
      </c>
      <c r="BH62" s="190">
        <v>69038.13793103439</v>
      </c>
      <c r="BI62" s="218">
        <f t="shared" si="0"/>
        <v>1738635.326589226</v>
      </c>
      <c r="BJ62" s="190">
        <v>1738635.3265892263</v>
      </c>
      <c r="BK62" s="190">
        <v>0</v>
      </c>
      <c r="BL62" s="190">
        <v>1599035.246589226</v>
      </c>
      <c r="BM62" s="190">
        <v>3581.265949807897</v>
      </c>
      <c r="BN62" s="190">
        <v>4006.558357363254</v>
      </c>
      <c r="BO62" s="219">
        <v>-0.10614906101985372</v>
      </c>
      <c r="BP62" s="220">
        <v>0.09114906101985372</v>
      </c>
      <c r="BQ62" s="268">
        <v>163059.13537502647</v>
      </c>
      <c r="BR62" s="266">
        <v>1901694.4619642524</v>
      </c>
      <c r="BS62" s="238">
        <v>0</v>
      </c>
      <c r="BT62" s="254">
        <v>0</v>
      </c>
      <c r="BU62" s="272">
        <v>1901694.4619642524</v>
      </c>
      <c r="BV62" s="10"/>
      <c r="BW62" s="228">
        <v>223129.85773044877</v>
      </c>
      <c r="BX62" s="188">
        <v>0</v>
      </c>
      <c r="BY62" s="188"/>
      <c r="BZ62" s="188"/>
      <c r="CA62" s="229">
        <v>122000</v>
      </c>
      <c r="CC62" s="235"/>
      <c r="CD62" s="224"/>
      <c r="CE62" s="224"/>
      <c r="CF62" s="224"/>
      <c r="CG62" s="224"/>
      <c r="CH62" s="224"/>
      <c r="CI62" s="224"/>
      <c r="CJ62" s="229"/>
    </row>
    <row r="63" spans="1:88" ht="15">
      <c r="A63" s="243">
        <v>2028</v>
      </c>
      <c r="B63" s="222" t="s">
        <v>137</v>
      </c>
      <c r="C63" s="189">
        <v>500.5</v>
      </c>
      <c r="D63" s="189">
        <v>500.5</v>
      </c>
      <c r="E63" s="189">
        <v>0</v>
      </c>
      <c r="F63" s="189">
        <v>0</v>
      </c>
      <c r="G63" s="189">
        <v>0</v>
      </c>
      <c r="H63" s="189">
        <v>106.25139664804469</v>
      </c>
      <c r="I63" s="189">
        <v>0</v>
      </c>
      <c r="J63" s="189">
        <v>162.354586129754</v>
      </c>
      <c r="K63" s="189">
        <v>69.42058165548106</v>
      </c>
      <c r="L63" s="189">
        <v>235.13422818791958</v>
      </c>
      <c r="M63" s="189">
        <v>4.478747203579419</v>
      </c>
      <c r="N63" s="189">
        <v>0</v>
      </c>
      <c r="O63" s="189">
        <v>0</v>
      </c>
      <c r="P63" s="189">
        <v>0</v>
      </c>
      <c r="Q63" s="189">
        <v>0</v>
      </c>
      <c r="R63" s="189">
        <v>0</v>
      </c>
      <c r="S63" s="189">
        <v>0</v>
      </c>
      <c r="T63" s="189">
        <v>0</v>
      </c>
      <c r="U63" s="189">
        <v>0</v>
      </c>
      <c r="V63" s="189">
        <v>255.1845070422533</v>
      </c>
      <c r="W63" s="189">
        <v>0</v>
      </c>
      <c r="X63" s="189">
        <v>151.80330330330315</v>
      </c>
      <c r="Y63" s="189">
        <v>0</v>
      </c>
      <c r="Z63" s="189">
        <v>0</v>
      </c>
      <c r="AA63" s="244">
        <v>0</v>
      </c>
      <c r="AB63" s="253">
        <v>1594676.4732231218</v>
      </c>
      <c r="AC63" s="190">
        <v>0</v>
      </c>
      <c r="AD63" s="190">
        <v>0</v>
      </c>
      <c r="AE63" s="190">
        <v>107580.60162011173</v>
      </c>
      <c r="AF63" s="190">
        <v>0</v>
      </c>
      <c r="AG63" s="190">
        <v>10522.200727069358</v>
      </c>
      <c r="AH63" s="190">
        <v>8998.295794183456</v>
      </c>
      <c r="AI63" s="190">
        <v>45717.147986577205</v>
      </c>
      <c r="AJ63" s="190">
        <v>1161.067522379866</v>
      </c>
      <c r="AK63" s="190">
        <v>0</v>
      </c>
      <c r="AL63" s="190">
        <v>0</v>
      </c>
      <c r="AM63" s="190">
        <v>0</v>
      </c>
      <c r="AN63" s="190">
        <v>0</v>
      </c>
      <c r="AO63" s="190">
        <v>0</v>
      </c>
      <c r="AP63" s="190">
        <v>0</v>
      </c>
      <c r="AQ63" s="190">
        <v>0</v>
      </c>
      <c r="AR63" s="190">
        <v>0</v>
      </c>
      <c r="AS63" s="189">
        <v>188601.7654647886</v>
      </c>
      <c r="AT63" s="189">
        <v>0</v>
      </c>
      <c r="AU63" s="190">
        <v>89563.94894894886</v>
      </c>
      <c r="AV63" s="190">
        <v>0</v>
      </c>
      <c r="AW63" s="190">
        <v>0</v>
      </c>
      <c r="AX63" s="190">
        <v>0</v>
      </c>
      <c r="AY63" s="190">
        <v>140000</v>
      </c>
      <c r="AZ63" s="191">
        <v>16900</v>
      </c>
      <c r="BA63" s="191">
        <v>4498.59</v>
      </c>
      <c r="BB63" s="190">
        <v>0</v>
      </c>
      <c r="BC63" s="190">
        <v>0</v>
      </c>
      <c r="BD63" s="268">
        <v>-3441.78</v>
      </c>
      <c r="BE63" s="253">
        <v>1594676.4732231218</v>
      </c>
      <c r="BF63" s="190">
        <v>452145.0280640591</v>
      </c>
      <c r="BG63" s="190">
        <v>157956.81</v>
      </c>
      <c r="BH63" s="190">
        <v>89563.94894894886</v>
      </c>
      <c r="BI63" s="218">
        <f t="shared" si="0"/>
        <v>2204778.311287181</v>
      </c>
      <c r="BJ63" s="190">
        <v>2204778.3112871805</v>
      </c>
      <c r="BK63" s="190">
        <v>0</v>
      </c>
      <c r="BL63" s="190">
        <v>2046821.501287181</v>
      </c>
      <c r="BM63" s="190">
        <v>4089.5534491252365</v>
      </c>
      <c r="BN63" s="190">
        <v>4150.892674835843</v>
      </c>
      <c r="BO63" s="219">
        <v>-0.01477735767115008</v>
      </c>
      <c r="BP63" s="220">
        <v>0</v>
      </c>
      <c r="BQ63" s="268">
        <v>0</v>
      </c>
      <c r="BR63" s="266">
        <v>2204778.311287181</v>
      </c>
      <c r="BS63" s="238">
        <v>0</v>
      </c>
      <c r="BT63" s="254">
        <v>0</v>
      </c>
      <c r="BU63" s="272">
        <v>2204778.311287181</v>
      </c>
      <c r="BV63" s="10"/>
      <c r="BW63" s="228">
        <v>273885.5966723472</v>
      </c>
      <c r="BX63" s="188">
        <v>0</v>
      </c>
      <c r="BY63" s="188"/>
      <c r="BZ63" s="188"/>
      <c r="CA63" s="229">
        <v>113153</v>
      </c>
      <c r="CC63" s="235"/>
      <c r="CD63" s="224"/>
      <c r="CE63" s="224"/>
      <c r="CF63" s="224"/>
      <c r="CG63" s="224"/>
      <c r="CH63" s="224"/>
      <c r="CI63" s="224"/>
      <c r="CJ63" s="229"/>
    </row>
    <row r="64" spans="1:88" ht="15">
      <c r="A64" s="243">
        <v>2035</v>
      </c>
      <c r="B64" s="187" t="s">
        <v>149</v>
      </c>
      <c r="C64" s="189">
        <v>211.17</v>
      </c>
      <c r="D64" s="189">
        <v>211.17</v>
      </c>
      <c r="E64" s="189">
        <v>0</v>
      </c>
      <c r="F64" s="189">
        <v>0</v>
      </c>
      <c r="G64" s="189">
        <v>0</v>
      </c>
      <c r="H64" s="189">
        <v>38.68763358778626</v>
      </c>
      <c r="I64" s="189">
        <v>0</v>
      </c>
      <c r="J64" s="189">
        <v>17.597499999999993</v>
      </c>
      <c r="K64" s="189">
        <v>37.54133333333338</v>
      </c>
      <c r="L64" s="189">
        <v>17.597499999999993</v>
      </c>
      <c r="M64" s="189">
        <v>56.31200000000007</v>
      </c>
      <c r="N64" s="189">
        <v>35.195000000000064</v>
      </c>
      <c r="O64" s="189">
        <v>0</v>
      </c>
      <c r="P64" s="189">
        <v>0</v>
      </c>
      <c r="Q64" s="189">
        <v>0</v>
      </c>
      <c r="R64" s="189">
        <v>0</v>
      </c>
      <c r="S64" s="189">
        <v>0</v>
      </c>
      <c r="T64" s="189">
        <v>0</v>
      </c>
      <c r="U64" s="189">
        <v>0</v>
      </c>
      <c r="V64" s="189">
        <v>36.245597014925345</v>
      </c>
      <c r="W64" s="189">
        <v>0</v>
      </c>
      <c r="X64" s="189">
        <v>50.61099173553713</v>
      </c>
      <c r="Y64" s="189">
        <v>0</v>
      </c>
      <c r="Z64" s="189">
        <v>0</v>
      </c>
      <c r="AA64" s="244">
        <v>0</v>
      </c>
      <c r="AB64" s="253">
        <v>672822.8388621911</v>
      </c>
      <c r="AC64" s="190">
        <v>0</v>
      </c>
      <c r="AD64" s="190">
        <v>0</v>
      </c>
      <c r="AE64" s="190">
        <v>39171.61588396946</v>
      </c>
      <c r="AF64" s="190">
        <v>0</v>
      </c>
      <c r="AG64" s="190">
        <v>1140.4939749999996</v>
      </c>
      <c r="AH64" s="190">
        <v>4866.107626666672</v>
      </c>
      <c r="AI64" s="190">
        <v>3421.4819249999987</v>
      </c>
      <c r="AJ64" s="190">
        <v>14598.286384192816</v>
      </c>
      <c r="AK64" s="190">
        <v>11404.911237650645</v>
      </c>
      <c r="AL64" s="190">
        <v>0</v>
      </c>
      <c r="AM64" s="190">
        <v>0</v>
      </c>
      <c r="AN64" s="190">
        <v>0</v>
      </c>
      <c r="AO64" s="190">
        <v>0</v>
      </c>
      <c r="AP64" s="190">
        <v>0</v>
      </c>
      <c r="AQ64" s="190">
        <v>0</v>
      </c>
      <c r="AR64" s="190">
        <v>0</v>
      </c>
      <c r="AS64" s="189">
        <v>26788.395841791025</v>
      </c>
      <c r="AT64" s="189">
        <v>0</v>
      </c>
      <c r="AU64" s="190">
        <v>29860.485123966904</v>
      </c>
      <c r="AV64" s="190">
        <v>0</v>
      </c>
      <c r="AW64" s="190">
        <v>0</v>
      </c>
      <c r="AX64" s="190">
        <v>0</v>
      </c>
      <c r="AY64" s="190">
        <v>140000</v>
      </c>
      <c r="AZ64" s="191">
        <v>9550</v>
      </c>
      <c r="BA64" s="191">
        <v>248.3</v>
      </c>
      <c r="BB64" s="190">
        <v>0</v>
      </c>
      <c r="BC64" s="190">
        <v>0</v>
      </c>
      <c r="BD64" s="268">
        <v>-44847.75</v>
      </c>
      <c r="BE64" s="253">
        <v>672822.8388621911</v>
      </c>
      <c r="BF64" s="190">
        <v>131251.77799823752</v>
      </c>
      <c r="BG64" s="190">
        <v>104950.54999999999</v>
      </c>
      <c r="BH64" s="190">
        <v>29860.485123966904</v>
      </c>
      <c r="BI64" s="218">
        <f t="shared" si="0"/>
        <v>909025.1668604286</v>
      </c>
      <c r="BJ64" s="190">
        <v>909025.1668604286</v>
      </c>
      <c r="BK64" s="190">
        <v>0</v>
      </c>
      <c r="BL64" s="190">
        <v>804074.6168604286</v>
      </c>
      <c r="BM64" s="190">
        <v>3807.7123495782007</v>
      </c>
      <c r="BN64" s="190">
        <v>3548.735215432099</v>
      </c>
      <c r="BO64" s="219">
        <v>0.07297730555379531</v>
      </c>
      <c r="BP64" s="220">
        <v>0</v>
      </c>
      <c r="BQ64" s="268">
        <v>0</v>
      </c>
      <c r="BR64" s="266">
        <v>909025.1668604286</v>
      </c>
      <c r="BS64" s="238">
        <v>0</v>
      </c>
      <c r="BT64" s="254">
        <v>0</v>
      </c>
      <c r="BU64" s="272">
        <v>909025.1668604286</v>
      </c>
      <c r="BV64" s="10"/>
      <c r="BW64" s="228">
        <v>87567.69671891782</v>
      </c>
      <c r="BX64" s="188">
        <v>72338.5320721495</v>
      </c>
      <c r="BY64" s="188"/>
      <c r="BZ64" s="188"/>
      <c r="CA64" s="229">
        <v>23500</v>
      </c>
      <c r="CC64" s="235"/>
      <c r="CD64" s="224"/>
      <c r="CE64" s="224"/>
      <c r="CF64" s="224"/>
      <c r="CG64" s="224"/>
      <c r="CH64" s="224"/>
      <c r="CI64" s="224"/>
      <c r="CJ64" s="229"/>
    </row>
    <row r="65" spans="1:88" ht="15">
      <c r="A65" s="243">
        <v>2040</v>
      </c>
      <c r="B65" s="196" t="s">
        <v>97</v>
      </c>
      <c r="C65" s="189">
        <v>676</v>
      </c>
      <c r="D65" s="189">
        <v>676</v>
      </c>
      <c r="E65" s="189">
        <v>0</v>
      </c>
      <c r="F65" s="189">
        <v>0</v>
      </c>
      <c r="G65" s="189">
        <v>0</v>
      </c>
      <c r="H65" s="189">
        <v>241.5549738219895</v>
      </c>
      <c r="I65" s="189">
        <v>0</v>
      </c>
      <c r="J65" s="189">
        <v>344.01780415430244</v>
      </c>
      <c r="K65" s="189">
        <v>37.10979228486646</v>
      </c>
      <c r="L65" s="189">
        <v>93.27596439169116</v>
      </c>
      <c r="M65" s="189">
        <v>51.15133531157273</v>
      </c>
      <c r="N65" s="189">
        <v>2.0059347181008875</v>
      </c>
      <c r="O65" s="189">
        <v>0</v>
      </c>
      <c r="P65" s="189">
        <v>0</v>
      </c>
      <c r="Q65" s="189">
        <v>0</v>
      </c>
      <c r="R65" s="189">
        <v>0</v>
      </c>
      <c r="S65" s="189">
        <v>0</v>
      </c>
      <c r="T65" s="189">
        <v>0</v>
      </c>
      <c r="U65" s="189">
        <v>0</v>
      </c>
      <c r="V65" s="189">
        <v>265.81694915254246</v>
      </c>
      <c r="W65" s="189">
        <v>0</v>
      </c>
      <c r="X65" s="189">
        <v>300.1493123772102</v>
      </c>
      <c r="Y65" s="189">
        <v>0</v>
      </c>
      <c r="Z65" s="189">
        <v>3.4000000000002837</v>
      </c>
      <c r="AA65" s="244">
        <v>0</v>
      </c>
      <c r="AB65" s="253">
        <v>2153848.743054606</v>
      </c>
      <c r="AC65" s="190">
        <v>0</v>
      </c>
      <c r="AD65" s="190">
        <v>0</v>
      </c>
      <c r="AE65" s="190">
        <v>244576.8265445026</v>
      </c>
      <c r="AF65" s="190">
        <v>0</v>
      </c>
      <c r="AG65" s="190">
        <v>22295.793887240343</v>
      </c>
      <c r="AH65" s="190">
        <v>4810.171275964391</v>
      </c>
      <c r="AI65" s="190">
        <v>18135.645756676513</v>
      </c>
      <c r="AJ65" s="190">
        <v>13260.439014991698</v>
      </c>
      <c r="AK65" s="190">
        <v>650.021520342729</v>
      </c>
      <c r="AL65" s="190">
        <v>0</v>
      </c>
      <c r="AM65" s="190">
        <v>0</v>
      </c>
      <c r="AN65" s="190">
        <v>0</v>
      </c>
      <c r="AO65" s="190">
        <v>0</v>
      </c>
      <c r="AP65" s="190">
        <v>0</v>
      </c>
      <c r="AQ65" s="190">
        <v>0</v>
      </c>
      <c r="AR65" s="190">
        <v>0</v>
      </c>
      <c r="AS65" s="189">
        <v>196459.9907796611</v>
      </c>
      <c r="AT65" s="189">
        <v>0</v>
      </c>
      <c r="AU65" s="190">
        <v>177088.09430255403</v>
      </c>
      <c r="AV65" s="190">
        <v>0</v>
      </c>
      <c r="AW65" s="190">
        <v>2720.000000000227</v>
      </c>
      <c r="AX65" s="190">
        <v>0</v>
      </c>
      <c r="AY65" s="190">
        <v>140000</v>
      </c>
      <c r="AZ65" s="191">
        <v>15800</v>
      </c>
      <c r="BA65" s="191">
        <v>410.8</v>
      </c>
      <c r="BB65" s="190">
        <v>0</v>
      </c>
      <c r="BC65" s="190">
        <v>0</v>
      </c>
      <c r="BD65" s="268">
        <v>0</v>
      </c>
      <c r="BE65" s="253">
        <v>2153848.743054606</v>
      </c>
      <c r="BF65" s="190">
        <v>679996.9830819336</v>
      </c>
      <c r="BG65" s="190">
        <v>156210.8</v>
      </c>
      <c r="BH65" s="190">
        <v>177088.09430255403</v>
      </c>
      <c r="BI65" s="218">
        <f t="shared" si="0"/>
        <v>2990056.5261365394</v>
      </c>
      <c r="BJ65" s="190">
        <v>2990056.5261365394</v>
      </c>
      <c r="BK65" s="190">
        <v>0</v>
      </c>
      <c r="BL65" s="190">
        <v>2833845.7261365396</v>
      </c>
      <c r="BM65" s="190">
        <v>4192.079476533343</v>
      </c>
      <c r="BN65" s="190">
        <v>4189.399623544304</v>
      </c>
      <c r="BO65" s="219">
        <v>0.0006396747099461753</v>
      </c>
      <c r="BP65" s="220">
        <v>0</v>
      </c>
      <c r="BQ65" s="268">
        <v>0</v>
      </c>
      <c r="BR65" s="266">
        <v>2990056.5261365394</v>
      </c>
      <c r="BS65" s="238">
        <v>0</v>
      </c>
      <c r="BT65" s="254">
        <v>0</v>
      </c>
      <c r="BU65" s="272">
        <v>2990056.5261365394</v>
      </c>
      <c r="BV65" s="10"/>
      <c r="BW65" s="228">
        <v>235568.48721087814</v>
      </c>
      <c r="BX65" s="188">
        <v>36636.84521424299</v>
      </c>
      <c r="BY65" s="188"/>
      <c r="BZ65" s="188"/>
      <c r="CA65" s="229">
        <v>63251</v>
      </c>
      <c r="CC65" s="235"/>
      <c r="CD65" s="224"/>
      <c r="CE65" s="224"/>
      <c r="CF65" s="224"/>
      <c r="CG65" s="224"/>
      <c r="CH65" s="224"/>
      <c r="CI65" s="224"/>
      <c r="CJ65" s="229"/>
    </row>
    <row r="66" spans="1:88" ht="15">
      <c r="A66" s="243">
        <v>2045</v>
      </c>
      <c r="B66" s="196" t="s">
        <v>140</v>
      </c>
      <c r="C66" s="189">
        <v>384</v>
      </c>
      <c r="D66" s="189">
        <v>384</v>
      </c>
      <c r="E66" s="189">
        <v>0</v>
      </c>
      <c r="F66" s="189">
        <v>0</v>
      </c>
      <c r="G66" s="189">
        <v>0</v>
      </c>
      <c r="H66" s="189">
        <v>83.47826086956522</v>
      </c>
      <c r="I66" s="189">
        <v>0</v>
      </c>
      <c r="J66" s="189">
        <v>61.99999999999987</v>
      </c>
      <c r="K66" s="189">
        <v>139.99999999999986</v>
      </c>
      <c r="L66" s="189">
        <v>145.99999999999986</v>
      </c>
      <c r="M66" s="189">
        <v>10.999999999999988</v>
      </c>
      <c r="N66" s="189">
        <v>0</v>
      </c>
      <c r="O66" s="189">
        <v>0</v>
      </c>
      <c r="P66" s="189">
        <v>0</v>
      </c>
      <c r="Q66" s="189">
        <v>0</v>
      </c>
      <c r="R66" s="189">
        <v>0</v>
      </c>
      <c r="S66" s="189">
        <v>0</v>
      </c>
      <c r="T66" s="189">
        <v>0</v>
      </c>
      <c r="U66" s="189">
        <v>0</v>
      </c>
      <c r="V66" s="189">
        <v>145.29729729729715</v>
      </c>
      <c r="W66" s="189">
        <v>0</v>
      </c>
      <c r="X66" s="189">
        <v>101.57419354838709</v>
      </c>
      <c r="Y66" s="189">
        <v>0</v>
      </c>
      <c r="Z66" s="189">
        <v>26.599999999999874</v>
      </c>
      <c r="AA66" s="244">
        <v>0</v>
      </c>
      <c r="AB66" s="253">
        <v>1223488.0433919656</v>
      </c>
      <c r="AC66" s="190">
        <v>0</v>
      </c>
      <c r="AD66" s="190">
        <v>0</v>
      </c>
      <c r="AE66" s="190">
        <v>84522.57391304348</v>
      </c>
      <c r="AF66" s="190">
        <v>0</v>
      </c>
      <c r="AG66" s="190">
        <v>4018.219999999992</v>
      </c>
      <c r="AH66" s="190">
        <v>18146.79999999998</v>
      </c>
      <c r="AI66" s="190">
        <v>28386.779999999973</v>
      </c>
      <c r="AJ66" s="190">
        <v>2851.6328708999963</v>
      </c>
      <c r="AK66" s="190">
        <v>0</v>
      </c>
      <c r="AL66" s="190">
        <v>0</v>
      </c>
      <c r="AM66" s="190">
        <v>0</v>
      </c>
      <c r="AN66" s="190">
        <v>0</v>
      </c>
      <c r="AO66" s="190">
        <v>0</v>
      </c>
      <c r="AP66" s="190">
        <v>0</v>
      </c>
      <c r="AQ66" s="190">
        <v>0</v>
      </c>
      <c r="AR66" s="190">
        <v>0</v>
      </c>
      <c r="AS66" s="189">
        <v>107386.32648648639</v>
      </c>
      <c r="AT66" s="189">
        <v>0</v>
      </c>
      <c r="AU66" s="190">
        <v>59928.77419354838</v>
      </c>
      <c r="AV66" s="190">
        <v>0</v>
      </c>
      <c r="AW66" s="190">
        <v>21279.999999999898</v>
      </c>
      <c r="AX66" s="190">
        <v>0</v>
      </c>
      <c r="AY66" s="190">
        <v>140000</v>
      </c>
      <c r="AZ66" s="191">
        <v>0</v>
      </c>
      <c r="BA66" s="191">
        <v>0</v>
      </c>
      <c r="BB66" s="190">
        <v>0</v>
      </c>
      <c r="BC66" s="190">
        <v>0</v>
      </c>
      <c r="BD66" s="268">
        <v>0</v>
      </c>
      <c r="BE66" s="253">
        <v>1223488.0433919656</v>
      </c>
      <c r="BF66" s="190">
        <v>326521.10746397806</v>
      </c>
      <c r="BG66" s="190">
        <v>140000</v>
      </c>
      <c r="BH66" s="190">
        <v>59928.77419354838</v>
      </c>
      <c r="BI66" s="218">
        <f t="shared" si="0"/>
        <v>1690009.1508559436</v>
      </c>
      <c r="BJ66" s="190">
        <v>1690009.150855944</v>
      </c>
      <c r="BK66" s="190">
        <v>0</v>
      </c>
      <c r="BL66" s="190">
        <v>1550009.1508559436</v>
      </c>
      <c r="BM66" s="190">
        <v>4036.482163687353</v>
      </c>
      <c r="BN66" s="190">
        <v>4096.869136363636</v>
      </c>
      <c r="BO66" s="219">
        <v>-0.01473978559390414</v>
      </c>
      <c r="BP66" s="220">
        <v>0</v>
      </c>
      <c r="BQ66" s="268">
        <v>0</v>
      </c>
      <c r="BR66" s="266">
        <v>1690009.1508559436</v>
      </c>
      <c r="BS66" s="238">
        <v>0</v>
      </c>
      <c r="BT66" s="254">
        <v>0</v>
      </c>
      <c r="BU66" s="272">
        <v>1690009.1508559436</v>
      </c>
      <c r="BV66" s="10"/>
      <c r="BW66" s="228">
        <v>123415.58751556397</v>
      </c>
      <c r="BX66" s="188">
        <v>0</v>
      </c>
      <c r="BY66" s="188"/>
      <c r="BZ66" s="188"/>
      <c r="CA66" s="229">
        <v>10959</v>
      </c>
      <c r="CC66" s="235"/>
      <c r="CD66" s="224"/>
      <c r="CE66" s="224"/>
      <c r="CF66" s="224"/>
      <c r="CG66" s="224"/>
      <c r="CH66" s="224"/>
      <c r="CI66" s="224"/>
      <c r="CJ66" s="229"/>
    </row>
    <row r="67" spans="1:88" ht="15">
      <c r="A67" s="243">
        <v>2048</v>
      </c>
      <c r="B67" s="187" t="s">
        <v>19</v>
      </c>
      <c r="C67" s="189">
        <v>374</v>
      </c>
      <c r="D67" s="189">
        <v>374</v>
      </c>
      <c r="E67" s="189">
        <v>0</v>
      </c>
      <c r="F67" s="189">
        <v>0</v>
      </c>
      <c r="G67" s="189">
        <v>0</v>
      </c>
      <c r="H67" s="189">
        <v>94.92385786802029</v>
      </c>
      <c r="I67" s="189">
        <v>0</v>
      </c>
      <c r="J67" s="189">
        <v>115.61827956989264</v>
      </c>
      <c r="K67" s="189">
        <v>36.193548387096776</v>
      </c>
      <c r="L67" s="189">
        <v>13.069892473118285</v>
      </c>
      <c r="M67" s="189">
        <v>5.026881720430121</v>
      </c>
      <c r="N67" s="189">
        <v>0</v>
      </c>
      <c r="O67" s="189">
        <v>0</v>
      </c>
      <c r="P67" s="189">
        <v>0</v>
      </c>
      <c r="Q67" s="189">
        <v>0</v>
      </c>
      <c r="R67" s="189">
        <v>0</v>
      </c>
      <c r="S67" s="189">
        <v>0</v>
      </c>
      <c r="T67" s="189">
        <v>0</v>
      </c>
      <c r="U67" s="189">
        <v>0</v>
      </c>
      <c r="V67" s="189">
        <v>62.71341463414623</v>
      </c>
      <c r="W67" s="189">
        <v>0</v>
      </c>
      <c r="X67" s="189">
        <v>107.76271186440678</v>
      </c>
      <c r="Y67" s="189">
        <v>0</v>
      </c>
      <c r="Z67" s="189">
        <v>12.600000000000177</v>
      </c>
      <c r="AA67" s="244">
        <v>0</v>
      </c>
      <c r="AB67" s="253">
        <v>1191626.3755952998</v>
      </c>
      <c r="AC67" s="190">
        <v>0</v>
      </c>
      <c r="AD67" s="190">
        <v>0</v>
      </c>
      <c r="AE67" s="190">
        <v>96111.35532994922</v>
      </c>
      <c r="AF67" s="190">
        <v>0</v>
      </c>
      <c r="AG67" s="190">
        <v>7493.220698924742</v>
      </c>
      <c r="AH67" s="190">
        <v>4691.407741935484</v>
      </c>
      <c r="AI67" s="190">
        <v>2541.1791935483884</v>
      </c>
      <c r="AJ67" s="190">
        <v>1303.1655592822615</v>
      </c>
      <c r="AK67" s="190">
        <v>0</v>
      </c>
      <c r="AL67" s="190">
        <v>0</v>
      </c>
      <c r="AM67" s="190">
        <v>0</v>
      </c>
      <c r="AN67" s="190">
        <v>0</v>
      </c>
      <c r="AO67" s="190">
        <v>0</v>
      </c>
      <c r="AP67" s="190">
        <v>0</v>
      </c>
      <c r="AQ67" s="190">
        <v>0</v>
      </c>
      <c r="AR67" s="190">
        <v>0</v>
      </c>
      <c r="AS67" s="189">
        <v>46350.2304878048</v>
      </c>
      <c r="AT67" s="189">
        <v>0</v>
      </c>
      <c r="AU67" s="190">
        <v>63580</v>
      </c>
      <c r="AV67" s="190">
        <v>0</v>
      </c>
      <c r="AW67" s="190">
        <v>10080.000000000142</v>
      </c>
      <c r="AX67" s="190">
        <v>0</v>
      </c>
      <c r="AY67" s="190">
        <v>140000</v>
      </c>
      <c r="AZ67" s="191">
        <v>14700</v>
      </c>
      <c r="BA67" s="191">
        <v>382.2</v>
      </c>
      <c r="BB67" s="190">
        <v>0</v>
      </c>
      <c r="BC67" s="190">
        <v>0</v>
      </c>
      <c r="BD67" s="268">
        <v>0</v>
      </c>
      <c r="BE67" s="253">
        <v>1191626.3755952998</v>
      </c>
      <c r="BF67" s="190">
        <v>232150.55901144506</v>
      </c>
      <c r="BG67" s="190">
        <v>155082.2</v>
      </c>
      <c r="BH67" s="190">
        <v>63580</v>
      </c>
      <c r="BI67" s="218">
        <f t="shared" si="0"/>
        <v>1578859.1346067449</v>
      </c>
      <c r="BJ67" s="190">
        <v>1578859.1346067449</v>
      </c>
      <c r="BK67" s="190">
        <v>0</v>
      </c>
      <c r="BL67" s="190">
        <v>1423776.934606745</v>
      </c>
      <c r="BM67" s="190">
        <v>3806.890199483275</v>
      </c>
      <c r="BN67" s="190">
        <v>3815.0402982051282</v>
      </c>
      <c r="BO67" s="219">
        <v>-0.002136307374180996</v>
      </c>
      <c r="BP67" s="220">
        <v>0</v>
      </c>
      <c r="BQ67" s="268">
        <v>0</v>
      </c>
      <c r="BR67" s="266">
        <v>1578859.1346067449</v>
      </c>
      <c r="BS67" s="238">
        <v>0</v>
      </c>
      <c r="BT67" s="254">
        <v>0</v>
      </c>
      <c r="BU67" s="272">
        <v>1578859.1346067449</v>
      </c>
      <c r="BV67" s="10"/>
      <c r="BW67" s="228">
        <v>112319.15782876937</v>
      </c>
      <c r="BX67" s="188">
        <v>12031.368562348798</v>
      </c>
      <c r="BY67" s="188"/>
      <c r="BZ67" s="188"/>
      <c r="CA67" s="229">
        <v>7242</v>
      </c>
      <c r="CC67" s="235"/>
      <c r="CD67" s="224"/>
      <c r="CE67" s="224"/>
      <c r="CF67" s="224"/>
      <c r="CG67" s="224"/>
      <c r="CH67" s="224"/>
      <c r="CI67" s="224"/>
      <c r="CJ67" s="229"/>
    </row>
    <row r="68" spans="1:88" ht="15">
      <c r="A68" s="243">
        <v>2049</v>
      </c>
      <c r="B68" s="223" t="s">
        <v>206</v>
      </c>
      <c r="C68" s="189">
        <v>546</v>
      </c>
      <c r="D68" s="189">
        <v>546</v>
      </c>
      <c r="E68" s="189">
        <v>0</v>
      </c>
      <c r="F68" s="189">
        <v>0</v>
      </c>
      <c r="G68" s="189">
        <v>0</v>
      </c>
      <c r="H68" s="189">
        <v>105</v>
      </c>
      <c r="I68" s="189">
        <v>0</v>
      </c>
      <c r="J68" s="189">
        <v>202</v>
      </c>
      <c r="K68" s="189">
        <v>161.00000000000006</v>
      </c>
      <c r="L68" s="189">
        <v>19.999999999999982</v>
      </c>
      <c r="M68" s="189">
        <v>12.999999999999995</v>
      </c>
      <c r="N68" s="189">
        <v>4.000000000000003</v>
      </c>
      <c r="O68" s="189">
        <v>0.9999999999999992</v>
      </c>
      <c r="P68" s="189">
        <v>0</v>
      </c>
      <c r="Q68" s="189">
        <v>0</v>
      </c>
      <c r="R68" s="189">
        <v>0</v>
      </c>
      <c r="S68" s="189">
        <v>0</v>
      </c>
      <c r="T68" s="189">
        <v>0</v>
      </c>
      <c r="U68" s="189">
        <v>0</v>
      </c>
      <c r="V68" s="189">
        <v>227.1176470588236</v>
      </c>
      <c r="W68" s="189">
        <v>0</v>
      </c>
      <c r="X68" s="189">
        <v>296.0704225352115</v>
      </c>
      <c r="Y68" s="189">
        <v>0</v>
      </c>
      <c r="Z68" s="189">
        <v>0</v>
      </c>
      <c r="AA68" s="244">
        <v>0</v>
      </c>
      <c r="AB68" s="253">
        <v>1739647.061697951</v>
      </c>
      <c r="AC68" s="190">
        <v>0</v>
      </c>
      <c r="AD68" s="190">
        <v>0</v>
      </c>
      <c r="AE68" s="190">
        <v>106313.55</v>
      </c>
      <c r="AF68" s="190">
        <v>0</v>
      </c>
      <c r="AG68" s="190">
        <v>13091.62</v>
      </c>
      <c r="AH68" s="190">
        <v>20868.820000000007</v>
      </c>
      <c r="AI68" s="190">
        <v>3888.5999999999967</v>
      </c>
      <c r="AJ68" s="190">
        <v>3370.111574699998</v>
      </c>
      <c r="AK68" s="190">
        <v>1296.1967595000008</v>
      </c>
      <c r="AL68" s="190">
        <v>388.8590278499997</v>
      </c>
      <c r="AM68" s="190">
        <v>0</v>
      </c>
      <c r="AN68" s="190">
        <v>0</v>
      </c>
      <c r="AO68" s="190">
        <v>0</v>
      </c>
      <c r="AP68" s="190">
        <v>0</v>
      </c>
      <c r="AQ68" s="190">
        <v>0</v>
      </c>
      <c r="AR68" s="190">
        <v>0</v>
      </c>
      <c r="AS68" s="189">
        <v>167858.11058823534</v>
      </c>
      <c r="AT68" s="189">
        <v>0</v>
      </c>
      <c r="AU68" s="190">
        <v>174681.54929577478</v>
      </c>
      <c r="AV68" s="190">
        <v>0</v>
      </c>
      <c r="AW68" s="190">
        <v>0</v>
      </c>
      <c r="AX68" s="190">
        <v>0</v>
      </c>
      <c r="AY68" s="190">
        <v>140000</v>
      </c>
      <c r="AZ68" s="191">
        <v>9504</v>
      </c>
      <c r="BA68" s="191">
        <v>-40783.55</v>
      </c>
      <c r="BB68" s="190">
        <v>0</v>
      </c>
      <c r="BC68" s="190">
        <v>0</v>
      </c>
      <c r="BD68" s="268">
        <v>0</v>
      </c>
      <c r="BE68" s="253">
        <v>1739647.061697951</v>
      </c>
      <c r="BF68" s="190">
        <v>491757.4172460601</v>
      </c>
      <c r="BG68" s="190">
        <v>108720.45</v>
      </c>
      <c r="BH68" s="190">
        <v>174681.54929577478</v>
      </c>
      <c r="BI68" s="218">
        <f t="shared" si="0"/>
        <v>2340124.928944011</v>
      </c>
      <c r="BJ68" s="190">
        <v>2340124.9289440117</v>
      </c>
      <c r="BK68" s="190">
        <v>0</v>
      </c>
      <c r="BL68" s="190">
        <v>2231404.478944011</v>
      </c>
      <c r="BM68" s="190">
        <v>4086.821390007346</v>
      </c>
      <c r="BN68" s="190">
        <v>4083.089556350626</v>
      </c>
      <c r="BO68" s="219">
        <v>0.0009139730111762371</v>
      </c>
      <c r="BP68" s="220">
        <v>0</v>
      </c>
      <c r="BQ68" s="268">
        <v>0</v>
      </c>
      <c r="BR68" s="266">
        <v>2340124.928944011</v>
      </c>
      <c r="BS68" s="238">
        <v>0</v>
      </c>
      <c r="BT68" s="254">
        <v>0</v>
      </c>
      <c r="BU68" s="272">
        <v>2340124.928944011</v>
      </c>
      <c r="BV68" s="10"/>
      <c r="BW68" s="228">
        <v>200767.5871639784</v>
      </c>
      <c r="BX68" s="188">
        <v>24432.884907065425</v>
      </c>
      <c r="BY68" s="188"/>
      <c r="BZ68" s="188"/>
      <c r="CA68" s="229">
        <v>61926</v>
      </c>
      <c r="CC68" s="235"/>
      <c r="CD68" s="224"/>
      <c r="CE68" s="224"/>
      <c r="CF68" s="224"/>
      <c r="CG68" s="224"/>
      <c r="CH68" s="224"/>
      <c r="CI68" s="224"/>
      <c r="CJ68" s="229"/>
    </row>
    <row r="69" spans="1:88" ht="15">
      <c r="A69" s="243">
        <v>2051</v>
      </c>
      <c r="B69" s="223" t="s">
        <v>207</v>
      </c>
      <c r="C69" s="189">
        <v>571</v>
      </c>
      <c r="D69" s="189">
        <v>571</v>
      </c>
      <c r="E69" s="189">
        <v>0</v>
      </c>
      <c r="F69" s="189">
        <v>0</v>
      </c>
      <c r="G69" s="189">
        <v>0</v>
      </c>
      <c r="H69" s="189">
        <v>142.75</v>
      </c>
      <c r="I69" s="189">
        <v>0</v>
      </c>
      <c r="J69" s="189">
        <v>142.2491228070176</v>
      </c>
      <c r="K69" s="189">
        <v>106.18596491228084</v>
      </c>
      <c r="L69" s="189">
        <v>33.05789473684212</v>
      </c>
      <c r="M69" s="189">
        <v>230.40350877193006</v>
      </c>
      <c r="N69" s="189">
        <v>4.007017543859647</v>
      </c>
      <c r="O69" s="189">
        <v>0</v>
      </c>
      <c r="P69" s="189">
        <v>0</v>
      </c>
      <c r="Q69" s="189">
        <v>0</v>
      </c>
      <c r="R69" s="189">
        <v>0</v>
      </c>
      <c r="S69" s="189">
        <v>0</v>
      </c>
      <c r="T69" s="189">
        <v>0</v>
      </c>
      <c r="U69" s="189">
        <v>0</v>
      </c>
      <c r="V69" s="189">
        <v>246.24375</v>
      </c>
      <c r="W69" s="189">
        <v>0</v>
      </c>
      <c r="X69" s="189">
        <v>240.42105263157873</v>
      </c>
      <c r="Y69" s="189">
        <v>0</v>
      </c>
      <c r="Z69" s="189">
        <v>15.900000000000002</v>
      </c>
      <c r="AA69" s="244">
        <v>0</v>
      </c>
      <c r="AB69" s="253">
        <v>1819301.2311896156</v>
      </c>
      <c r="AC69" s="190">
        <v>0</v>
      </c>
      <c r="AD69" s="190">
        <v>0</v>
      </c>
      <c r="AE69" s="190">
        <v>144535.8025</v>
      </c>
      <c r="AF69" s="190">
        <v>0</v>
      </c>
      <c r="AG69" s="190">
        <v>9219.165649122811</v>
      </c>
      <c r="AH69" s="190">
        <v>13763.824771929843</v>
      </c>
      <c r="AI69" s="190">
        <v>6427.446473684214</v>
      </c>
      <c r="AJ69" s="190">
        <v>59729.65628952111</v>
      </c>
      <c r="AK69" s="190">
        <v>1298.4707889026308</v>
      </c>
      <c r="AL69" s="190">
        <v>0</v>
      </c>
      <c r="AM69" s="190">
        <v>0</v>
      </c>
      <c r="AN69" s="190">
        <v>0</v>
      </c>
      <c r="AO69" s="190">
        <v>0</v>
      </c>
      <c r="AP69" s="190">
        <v>0</v>
      </c>
      <c r="AQ69" s="190">
        <v>0</v>
      </c>
      <c r="AR69" s="190">
        <v>0</v>
      </c>
      <c r="AS69" s="189">
        <v>181993.83075000002</v>
      </c>
      <c r="AT69" s="189">
        <v>0</v>
      </c>
      <c r="AU69" s="190">
        <v>141848.42105263146</v>
      </c>
      <c r="AV69" s="190">
        <v>0</v>
      </c>
      <c r="AW69" s="190">
        <v>12720.000000000002</v>
      </c>
      <c r="AX69" s="190">
        <v>0</v>
      </c>
      <c r="AY69" s="190">
        <v>140000</v>
      </c>
      <c r="AZ69" s="191">
        <v>11600</v>
      </c>
      <c r="BA69" s="191">
        <v>-46098.4</v>
      </c>
      <c r="BB69" s="190">
        <v>0</v>
      </c>
      <c r="BC69" s="190">
        <v>0</v>
      </c>
      <c r="BD69" s="268">
        <v>0</v>
      </c>
      <c r="BE69" s="253">
        <v>1819301.2311896156</v>
      </c>
      <c r="BF69" s="190">
        <v>571536.6182757921</v>
      </c>
      <c r="BG69" s="190">
        <v>105501.6</v>
      </c>
      <c r="BH69" s="190">
        <v>141848.42105263146</v>
      </c>
      <c r="BI69" s="218">
        <f t="shared" si="0"/>
        <v>2496339.4494654075</v>
      </c>
      <c r="BJ69" s="190">
        <v>2496339.4494654075</v>
      </c>
      <c r="BK69" s="190">
        <v>0</v>
      </c>
      <c r="BL69" s="190">
        <v>2390837.8494654074</v>
      </c>
      <c r="BM69" s="190">
        <v>4187.10656648933</v>
      </c>
      <c r="BN69" s="190">
        <v>4200.740102587801</v>
      </c>
      <c r="BO69" s="219">
        <v>-0.0032455081165510885</v>
      </c>
      <c r="BP69" s="220">
        <v>0</v>
      </c>
      <c r="BQ69" s="268">
        <v>0</v>
      </c>
      <c r="BR69" s="266">
        <v>2496339.4494654075</v>
      </c>
      <c r="BS69" s="238">
        <v>0</v>
      </c>
      <c r="BT69" s="254">
        <v>0</v>
      </c>
      <c r="BU69" s="272">
        <v>2496339.4494654075</v>
      </c>
      <c r="BV69" s="10"/>
      <c r="BW69" s="228">
        <v>196833.6651205014</v>
      </c>
      <c r="BX69" s="188">
        <v>0</v>
      </c>
      <c r="BY69" s="226">
        <v>63349</v>
      </c>
      <c r="BZ69" s="226">
        <v>45114</v>
      </c>
      <c r="CA69" s="229">
        <v>84826</v>
      </c>
      <c r="CC69" s="235"/>
      <c r="CD69" s="224"/>
      <c r="CE69" s="224"/>
      <c r="CF69" s="224"/>
      <c r="CG69" s="224"/>
      <c r="CH69" s="224"/>
      <c r="CI69" s="224"/>
      <c r="CJ69" s="229"/>
    </row>
    <row r="70" spans="1:88" ht="15">
      <c r="A70" s="243">
        <v>2078</v>
      </c>
      <c r="B70" s="187" t="s">
        <v>201</v>
      </c>
      <c r="C70" s="189">
        <v>838</v>
      </c>
      <c r="D70" s="189">
        <v>838</v>
      </c>
      <c r="E70" s="189">
        <v>0</v>
      </c>
      <c r="F70" s="189">
        <v>0</v>
      </c>
      <c r="G70" s="189">
        <v>0</v>
      </c>
      <c r="H70" s="189">
        <v>218.2187871581451</v>
      </c>
      <c r="I70" s="189">
        <v>0</v>
      </c>
      <c r="J70" s="189">
        <v>60.000000000000036</v>
      </c>
      <c r="K70" s="189">
        <v>299.9999999999998</v>
      </c>
      <c r="L70" s="189">
        <v>124.00000000000037</v>
      </c>
      <c r="M70" s="189">
        <v>201.0000000000001</v>
      </c>
      <c r="N70" s="189">
        <v>5.000000000000002</v>
      </c>
      <c r="O70" s="189">
        <v>0</v>
      </c>
      <c r="P70" s="189">
        <v>0</v>
      </c>
      <c r="Q70" s="189">
        <v>0</v>
      </c>
      <c r="R70" s="189">
        <v>0</v>
      </c>
      <c r="S70" s="189">
        <v>0</v>
      </c>
      <c r="T70" s="189">
        <v>0</v>
      </c>
      <c r="U70" s="189">
        <v>0</v>
      </c>
      <c r="V70" s="189">
        <v>350.9271708683473</v>
      </c>
      <c r="W70" s="189">
        <v>0</v>
      </c>
      <c r="X70" s="189">
        <v>369.38944365192566</v>
      </c>
      <c r="Y70" s="189">
        <v>0</v>
      </c>
      <c r="Z70" s="189">
        <v>0</v>
      </c>
      <c r="AA70" s="244">
        <v>0</v>
      </c>
      <c r="AB70" s="253">
        <v>2670007.7613605917</v>
      </c>
      <c r="AC70" s="190">
        <v>0</v>
      </c>
      <c r="AD70" s="190">
        <v>0</v>
      </c>
      <c r="AE70" s="190">
        <v>220948.7041854935</v>
      </c>
      <c r="AF70" s="190">
        <v>0</v>
      </c>
      <c r="AG70" s="190">
        <v>3888.6000000000026</v>
      </c>
      <c r="AH70" s="190">
        <v>38885.99999999997</v>
      </c>
      <c r="AI70" s="190">
        <v>24109.320000000072</v>
      </c>
      <c r="AJ70" s="190">
        <v>52107.109731900026</v>
      </c>
      <c r="AK70" s="190">
        <v>1620.2459493750005</v>
      </c>
      <c r="AL70" s="190">
        <v>0</v>
      </c>
      <c r="AM70" s="190">
        <v>0</v>
      </c>
      <c r="AN70" s="190">
        <v>0</v>
      </c>
      <c r="AO70" s="190">
        <v>0</v>
      </c>
      <c r="AP70" s="190">
        <v>0</v>
      </c>
      <c r="AQ70" s="190">
        <v>0</v>
      </c>
      <c r="AR70" s="190">
        <v>0</v>
      </c>
      <c r="AS70" s="189">
        <v>259363.25344537813</v>
      </c>
      <c r="AT70" s="189">
        <v>0</v>
      </c>
      <c r="AU70" s="190">
        <v>217939.77175463614</v>
      </c>
      <c r="AV70" s="190">
        <v>0</v>
      </c>
      <c r="AW70" s="190">
        <v>0</v>
      </c>
      <c r="AX70" s="190">
        <v>0</v>
      </c>
      <c r="AY70" s="190">
        <v>140000</v>
      </c>
      <c r="AZ70" s="191">
        <v>12300</v>
      </c>
      <c r="BA70" s="191">
        <v>319.8</v>
      </c>
      <c r="BB70" s="190">
        <v>0</v>
      </c>
      <c r="BC70" s="190">
        <v>0</v>
      </c>
      <c r="BD70" s="268">
        <v>0</v>
      </c>
      <c r="BE70" s="253">
        <v>2670007.7613605917</v>
      </c>
      <c r="BF70" s="190">
        <v>818863.0050667829</v>
      </c>
      <c r="BG70" s="190">
        <v>152619.8</v>
      </c>
      <c r="BH70" s="190">
        <v>217939.77175463614</v>
      </c>
      <c r="BI70" s="218">
        <f aca="true" t="shared" si="1" ref="BI70:BI95">SUM(BE70:BG70)</f>
        <v>3641490.5664273743</v>
      </c>
      <c r="BJ70" s="190">
        <v>3641490.5664273743</v>
      </c>
      <c r="BK70" s="190">
        <v>0</v>
      </c>
      <c r="BL70" s="190">
        <v>3488870.7664273744</v>
      </c>
      <c r="BM70" s="190">
        <v>4163.330270199731</v>
      </c>
      <c r="BN70" s="190">
        <v>4189.892577764566</v>
      </c>
      <c r="BO70" s="219">
        <v>-0.006339615413005947</v>
      </c>
      <c r="BP70" s="220">
        <v>0</v>
      </c>
      <c r="BQ70" s="268">
        <v>0</v>
      </c>
      <c r="BR70" s="266">
        <v>3641490.5664273743</v>
      </c>
      <c r="BS70" s="238">
        <v>0</v>
      </c>
      <c r="BT70" s="254">
        <v>0</v>
      </c>
      <c r="BU70" s="272">
        <v>3641490.5664273743</v>
      </c>
      <c r="BV70" s="10"/>
      <c r="BW70" s="228">
        <v>353764.29067343887</v>
      </c>
      <c r="BX70" s="188">
        <v>61994.61598694729</v>
      </c>
      <c r="BY70" s="188"/>
      <c r="BZ70" s="188"/>
      <c r="CA70" s="229">
        <v>120826</v>
      </c>
      <c r="CC70" s="235"/>
      <c r="CD70" s="224"/>
      <c r="CE70" s="224"/>
      <c r="CF70" s="224"/>
      <c r="CG70" s="224"/>
      <c r="CH70" s="224"/>
      <c r="CI70" s="224"/>
      <c r="CJ70" s="229"/>
    </row>
    <row r="71" spans="1:88" ht="15">
      <c r="A71" s="243">
        <v>2081</v>
      </c>
      <c r="B71" s="196" t="s">
        <v>28</v>
      </c>
      <c r="C71" s="189">
        <v>644</v>
      </c>
      <c r="D71" s="189">
        <v>644</v>
      </c>
      <c r="E71" s="189">
        <v>0</v>
      </c>
      <c r="F71" s="189">
        <v>0</v>
      </c>
      <c r="G71" s="189">
        <v>0</v>
      </c>
      <c r="H71" s="189">
        <v>110.281098546042</v>
      </c>
      <c r="I71" s="189">
        <v>0</v>
      </c>
      <c r="J71" s="189">
        <v>154.0000000000002</v>
      </c>
      <c r="K71" s="189">
        <v>172.00000000000009</v>
      </c>
      <c r="L71" s="189">
        <v>102.00000000000009</v>
      </c>
      <c r="M71" s="189">
        <v>5.999999999999998</v>
      </c>
      <c r="N71" s="189">
        <v>0</v>
      </c>
      <c r="O71" s="189">
        <v>0</v>
      </c>
      <c r="P71" s="189">
        <v>0</v>
      </c>
      <c r="Q71" s="189">
        <v>0</v>
      </c>
      <c r="R71" s="189">
        <v>0</v>
      </c>
      <c r="S71" s="189">
        <v>0</v>
      </c>
      <c r="T71" s="189">
        <v>0</v>
      </c>
      <c r="U71" s="189">
        <v>0</v>
      </c>
      <c r="V71" s="189">
        <v>215.82702702702693</v>
      </c>
      <c r="W71" s="189">
        <v>0</v>
      </c>
      <c r="X71" s="189">
        <v>308.68421052631595</v>
      </c>
      <c r="Y71" s="189">
        <v>0</v>
      </c>
      <c r="Z71" s="189">
        <v>0</v>
      </c>
      <c r="AA71" s="244">
        <v>0</v>
      </c>
      <c r="AB71" s="253">
        <v>2051891.4061052755</v>
      </c>
      <c r="AC71" s="190">
        <v>0</v>
      </c>
      <c r="AD71" s="190">
        <v>0</v>
      </c>
      <c r="AE71" s="190">
        <v>111660.71508885299</v>
      </c>
      <c r="AF71" s="190">
        <v>0</v>
      </c>
      <c r="AG71" s="190">
        <v>9980.740000000013</v>
      </c>
      <c r="AH71" s="190">
        <v>22294.64000000001</v>
      </c>
      <c r="AI71" s="190">
        <v>19831.86000000002</v>
      </c>
      <c r="AJ71" s="190">
        <v>1555.4361113999994</v>
      </c>
      <c r="AK71" s="190">
        <v>0</v>
      </c>
      <c r="AL71" s="190">
        <v>0</v>
      </c>
      <c r="AM71" s="190">
        <v>0</v>
      </c>
      <c r="AN71" s="190">
        <v>0</v>
      </c>
      <c r="AO71" s="190">
        <v>0</v>
      </c>
      <c r="AP71" s="190">
        <v>0</v>
      </c>
      <c r="AQ71" s="190">
        <v>0</v>
      </c>
      <c r="AR71" s="190">
        <v>0</v>
      </c>
      <c r="AS71" s="189">
        <v>159513.43913513506</v>
      </c>
      <c r="AT71" s="189">
        <v>0</v>
      </c>
      <c r="AU71" s="190">
        <v>182123.6842105264</v>
      </c>
      <c r="AV71" s="190">
        <v>0</v>
      </c>
      <c r="AW71" s="190">
        <v>0</v>
      </c>
      <c r="AX71" s="190">
        <v>0</v>
      </c>
      <c r="AY71" s="190">
        <v>140000</v>
      </c>
      <c r="AZ71" s="191">
        <v>11200</v>
      </c>
      <c r="BA71" s="191">
        <v>291.2</v>
      </c>
      <c r="BB71" s="190">
        <v>0</v>
      </c>
      <c r="BC71" s="190">
        <v>0</v>
      </c>
      <c r="BD71" s="268">
        <v>0</v>
      </c>
      <c r="BE71" s="253">
        <v>2051891.4061052755</v>
      </c>
      <c r="BF71" s="190">
        <v>506960.5145459145</v>
      </c>
      <c r="BG71" s="190">
        <v>151491.2</v>
      </c>
      <c r="BH71" s="190">
        <v>182123.6842105264</v>
      </c>
      <c r="BI71" s="218">
        <f t="shared" si="1"/>
        <v>2710343.12065119</v>
      </c>
      <c r="BJ71" s="190">
        <v>2710343.12065119</v>
      </c>
      <c r="BK71" s="190">
        <v>0</v>
      </c>
      <c r="BL71" s="190">
        <v>2558851.92065119</v>
      </c>
      <c r="BM71" s="190">
        <v>3973.3725475950155</v>
      </c>
      <c r="BN71" s="190">
        <v>3958.6327635048233</v>
      </c>
      <c r="BO71" s="219">
        <v>0.003723453265501229</v>
      </c>
      <c r="BP71" s="220">
        <v>0</v>
      </c>
      <c r="BQ71" s="268">
        <v>0</v>
      </c>
      <c r="BR71" s="266">
        <v>2710343.12065119</v>
      </c>
      <c r="BS71" s="238">
        <v>0</v>
      </c>
      <c r="BT71" s="254">
        <v>0</v>
      </c>
      <c r="BU71" s="272">
        <v>2710343.12065119</v>
      </c>
      <c r="BV71" s="10"/>
      <c r="BW71" s="228">
        <v>226722.62446924628</v>
      </c>
      <c r="BX71" s="188">
        <v>85030.97371705253</v>
      </c>
      <c r="BY71" s="188"/>
      <c r="BZ71" s="188">
        <v>45114</v>
      </c>
      <c r="CA71" s="229">
        <v>118360</v>
      </c>
      <c r="CC71" s="235"/>
      <c r="CD71" s="224"/>
      <c r="CE71" s="224"/>
      <c r="CF71" s="224"/>
      <c r="CG71" s="224"/>
      <c r="CH71" s="224"/>
      <c r="CI71" s="224"/>
      <c r="CJ71" s="229"/>
    </row>
    <row r="72" spans="1:88" ht="15">
      <c r="A72" s="243">
        <v>2082</v>
      </c>
      <c r="B72" s="196" t="s">
        <v>44</v>
      </c>
      <c r="C72" s="189">
        <v>932</v>
      </c>
      <c r="D72" s="189">
        <v>932</v>
      </c>
      <c r="E72" s="189">
        <v>0</v>
      </c>
      <c r="F72" s="189">
        <v>0</v>
      </c>
      <c r="G72" s="189">
        <v>0</v>
      </c>
      <c r="H72" s="189">
        <v>264.40434782608696</v>
      </c>
      <c r="I72" s="189">
        <v>0</v>
      </c>
      <c r="J72" s="189">
        <v>152.00000000000017</v>
      </c>
      <c r="K72" s="189">
        <v>324.99999999999966</v>
      </c>
      <c r="L72" s="189">
        <v>392.9999999999998</v>
      </c>
      <c r="M72" s="189">
        <v>10.00000000000002</v>
      </c>
      <c r="N72" s="189">
        <v>1.000000000000002</v>
      </c>
      <c r="O72" s="189">
        <v>0</v>
      </c>
      <c r="P72" s="189">
        <v>0</v>
      </c>
      <c r="Q72" s="189">
        <v>0</v>
      </c>
      <c r="R72" s="189">
        <v>0</v>
      </c>
      <c r="S72" s="189">
        <v>0</v>
      </c>
      <c r="T72" s="189">
        <v>0</v>
      </c>
      <c r="U72" s="189">
        <v>0</v>
      </c>
      <c r="V72" s="189">
        <v>345.14214463840443</v>
      </c>
      <c r="W72" s="189">
        <v>0</v>
      </c>
      <c r="X72" s="189">
        <v>358.26881720430146</v>
      </c>
      <c r="Y72" s="189">
        <v>0</v>
      </c>
      <c r="Z72" s="189">
        <v>37.7999999999999</v>
      </c>
      <c r="AA72" s="244">
        <v>0</v>
      </c>
      <c r="AB72" s="253">
        <v>2969507.4386492497</v>
      </c>
      <c r="AC72" s="190">
        <v>0</v>
      </c>
      <c r="AD72" s="190">
        <v>0</v>
      </c>
      <c r="AE72" s="190">
        <v>267712.0462173913</v>
      </c>
      <c r="AF72" s="190">
        <v>0</v>
      </c>
      <c r="AG72" s="190">
        <v>9851.120000000012</v>
      </c>
      <c r="AH72" s="190">
        <v>42126.499999999956</v>
      </c>
      <c r="AI72" s="190">
        <v>76410.98999999996</v>
      </c>
      <c r="AJ72" s="190">
        <v>2592.3935190000047</v>
      </c>
      <c r="AK72" s="190">
        <v>324.0491898750006</v>
      </c>
      <c r="AL72" s="190">
        <v>0</v>
      </c>
      <c r="AM72" s="190">
        <v>0</v>
      </c>
      <c r="AN72" s="190">
        <v>0</v>
      </c>
      <c r="AO72" s="190">
        <v>0</v>
      </c>
      <c r="AP72" s="190">
        <v>0</v>
      </c>
      <c r="AQ72" s="190">
        <v>0</v>
      </c>
      <c r="AR72" s="190">
        <v>0</v>
      </c>
      <c r="AS72" s="189">
        <v>255087.65625935196</v>
      </c>
      <c r="AT72" s="189">
        <v>0</v>
      </c>
      <c r="AU72" s="190">
        <v>211378.60215053786</v>
      </c>
      <c r="AV72" s="190">
        <v>0</v>
      </c>
      <c r="AW72" s="190">
        <v>30239.99999999992</v>
      </c>
      <c r="AX72" s="190">
        <v>0</v>
      </c>
      <c r="AY72" s="190">
        <v>140000</v>
      </c>
      <c r="AZ72" s="191">
        <v>16200</v>
      </c>
      <c r="BA72" s="191">
        <v>421.2</v>
      </c>
      <c r="BB72" s="190">
        <v>0</v>
      </c>
      <c r="BC72" s="190">
        <v>0</v>
      </c>
      <c r="BD72" s="268">
        <v>0</v>
      </c>
      <c r="BE72" s="253">
        <v>2969507.4386492497</v>
      </c>
      <c r="BF72" s="190">
        <v>895723.3573361561</v>
      </c>
      <c r="BG72" s="190">
        <v>156621.2</v>
      </c>
      <c r="BH72" s="190">
        <v>211378.60215053786</v>
      </c>
      <c r="BI72" s="218">
        <f t="shared" si="1"/>
        <v>4021851.995985406</v>
      </c>
      <c r="BJ72" s="190">
        <v>4021851.995985406</v>
      </c>
      <c r="BK72" s="190">
        <v>0</v>
      </c>
      <c r="BL72" s="190">
        <v>3865230.795985406</v>
      </c>
      <c r="BM72" s="190">
        <v>4147.24334333198</v>
      </c>
      <c r="BN72" s="190">
        <v>4152.266689496249</v>
      </c>
      <c r="BO72" s="219">
        <v>-0.0012097840865991588</v>
      </c>
      <c r="BP72" s="220">
        <v>0</v>
      </c>
      <c r="BQ72" s="268">
        <v>0</v>
      </c>
      <c r="BR72" s="266">
        <v>4021851.995985406</v>
      </c>
      <c r="BS72" s="238">
        <v>0</v>
      </c>
      <c r="BT72" s="254">
        <v>0</v>
      </c>
      <c r="BU72" s="272">
        <v>4021851.995985406</v>
      </c>
      <c r="BV72" s="10"/>
      <c r="BW72" s="228">
        <v>306924.89215646236</v>
      </c>
      <c r="BX72" s="188">
        <v>0</v>
      </c>
      <c r="BY72" s="188"/>
      <c r="BZ72" s="188">
        <v>45114</v>
      </c>
      <c r="CA72" s="229">
        <v>100484</v>
      </c>
      <c r="CC72" s="235"/>
      <c r="CD72" s="224"/>
      <c r="CE72" s="224"/>
      <c r="CF72" s="224"/>
      <c r="CG72" s="224"/>
      <c r="CH72" s="224"/>
      <c r="CI72" s="224"/>
      <c r="CJ72" s="229"/>
    </row>
    <row r="73" spans="1:88" ht="15">
      <c r="A73" s="243">
        <v>3306</v>
      </c>
      <c r="B73" s="187" t="s">
        <v>130</v>
      </c>
      <c r="C73" s="189">
        <v>413</v>
      </c>
      <c r="D73" s="189">
        <v>413</v>
      </c>
      <c r="E73" s="189">
        <v>0</v>
      </c>
      <c r="F73" s="189">
        <v>0</v>
      </c>
      <c r="G73" s="189">
        <v>0</v>
      </c>
      <c r="H73" s="189">
        <v>66.67710843373493</v>
      </c>
      <c r="I73" s="189">
        <v>0</v>
      </c>
      <c r="J73" s="189">
        <v>41.99999999999988</v>
      </c>
      <c r="K73" s="189">
        <v>152.00000000000006</v>
      </c>
      <c r="L73" s="189">
        <v>100.00000000000004</v>
      </c>
      <c r="M73" s="189">
        <v>55.99999999999998</v>
      </c>
      <c r="N73" s="189">
        <v>8.000000000000021</v>
      </c>
      <c r="O73" s="189">
        <v>0</v>
      </c>
      <c r="P73" s="189">
        <v>0</v>
      </c>
      <c r="Q73" s="189">
        <v>0</v>
      </c>
      <c r="R73" s="189">
        <v>0</v>
      </c>
      <c r="S73" s="189">
        <v>0</v>
      </c>
      <c r="T73" s="189">
        <v>0</v>
      </c>
      <c r="U73" s="189">
        <v>0</v>
      </c>
      <c r="V73" s="189">
        <v>117.65697674418624</v>
      </c>
      <c r="W73" s="189">
        <v>0</v>
      </c>
      <c r="X73" s="189">
        <v>143.54268292682923</v>
      </c>
      <c r="Y73" s="189">
        <v>0</v>
      </c>
      <c r="Z73" s="189">
        <v>0</v>
      </c>
      <c r="AA73" s="244">
        <v>0</v>
      </c>
      <c r="AB73" s="253">
        <v>1315886.8800022963</v>
      </c>
      <c r="AC73" s="190">
        <v>0</v>
      </c>
      <c r="AD73" s="190">
        <v>0</v>
      </c>
      <c r="AE73" s="190">
        <v>67511.23906024096</v>
      </c>
      <c r="AF73" s="190">
        <v>0</v>
      </c>
      <c r="AG73" s="190">
        <v>2722.0199999999923</v>
      </c>
      <c r="AH73" s="190">
        <v>19702.24000000001</v>
      </c>
      <c r="AI73" s="190">
        <v>19443.000000000007</v>
      </c>
      <c r="AJ73" s="190">
        <v>14517.403706399993</v>
      </c>
      <c r="AK73" s="190">
        <v>2592.3935190000066</v>
      </c>
      <c r="AL73" s="190">
        <v>0</v>
      </c>
      <c r="AM73" s="190">
        <v>0</v>
      </c>
      <c r="AN73" s="190">
        <v>0</v>
      </c>
      <c r="AO73" s="190">
        <v>0</v>
      </c>
      <c r="AP73" s="190">
        <v>0</v>
      </c>
      <c r="AQ73" s="190">
        <v>0</v>
      </c>
      <c r="AR73" s="190">
        <v>0</v>
      </c>
      <c r="AS73" s="189">
        <v>86957.91837209318</v>
      </c>
      <c r="AT73" s="189">
        <v>0</v>
      </c>
      <c r="AU73" s="190">
        <v>84690.18292682925</v>
      </c>
      <c r="AV73" s="190">
        <v>0</v>
      </c>
      <c r="AW73" s="190">
        <v>0</v>
      </c>
      <c r="AX73" s="190">
        <v>0</v>
      </c>
      <c r="AY73" s="190">
        <v>140000</v>
      </c>
      <c r="AZ73" s="191">
        <v>5328</v>
      </c>
      <c r="BA73" s="191">
        <v>144.3</v>
      </c>
      <c r="BB73" s="190">
        <v>0</v>
      </c>
      <c r="BC73" s="190">
        <v>0</v>
      </c>
      <c r="BD73" s="268">
        <v>0</v>
      </c>
      <c r="BE73" s="253">
        <v>1315886.8800022963</v>
      </c>
      <c r="BF73" s="190">
        <v>298136.39758456335</v>
      </c>
      <c r="BG73" s="190">
        <v>145472.3</v>
      </c>
      <c r="BH73" s="190">
        <v>84690.18292682925</v>
      </c>
      <c r="BI73" s="218">
        <f t="shared" si="1"/>
        <v>1759495.5775868597</v>
      </c>
      <c r="BJ73" s="190">
        <v>1759495.5775868597</v>
      </c>
      <c r="BK73" s="190">
        <v>0</v>
      </c>
      <c r="BL73" s="190">
        <v>1614023.2775868597</v>
      </c>
      <c r="BM73" s="190">
        <v>3908.046676965762</v>
      </c>
      <c r="BN73" s="190">
        <v>3902.6406863414636</v>
      </c>
      <c r="BO73" s="219">
        <v>0.0013852135153559673</v>
      </c>
      <c r="BP73" s="220">
        <v>0</v>
      </c>
      <c r="BQ73" s="268">
        <v>0</v>
      </c>
      <c r="BR73" s="266">
        <v>1759495.5775868597</v>
      </c>
      <c r="BS73" s="238">
        <v>0</v>
      </c>
      <c r="BT73" s="254">
        <v>0</v>
      </c>
      <c r="BU73" s="272">
        <v>1759495.5775868597</v>
      </c>
      <c r="BV73" s="10"/>
      <c r="BW73" s="228">
        <v>146903.324710619</v>
      </c>
      <c r="BX73" s="188">
        <v>0</v>
      </c>
      <c r="BY73" s="188"/>
      <c r="BZ73" s="188"/>
      <c r="CA73" s="229">
        <v>54400</v>
      </c>
      <c r="CC73" s="235"/>
      <c r="CD73" s="224"/>
      <c r="CE73" s="224"/>
      <c r="CF73" s="224"/>
      <c r="CG73" s="224"/>
      <c r="CH73" s="224"/>
      <c r="CI73" s="224"/>
      <c r="CJ73" s="229"/>
    </row>
    <row r="74" spans="1:88" ht="15">
      <c r="A74" s="243">
        <v>3410</v>
      </c>
      <c r="B74" s="196" t="s">
        <v>129</v>
      </c>
      <c r="C74" s="189">
        <v>403</v>
      </c>
      <c r="D74" s="189">
        <v>403</v>
      </c>
      <c r="E74" s="189">
        <v>0</v>
      </c>
      <c r="F74" s="189">
        <v>0</v>
      </c>
      <c r="G74" s="189">
        <v>0</v>
      </c>
      <c r="H74" s="189">
        <v>140.80722891566265</v>
      </c>
      <c r="I74" s="189">
        <v>0</v>
      </c>
      <c r="J74" s="189">
        <v>85.00000000000017</v>
      </c>
      <c r="K74" s="189">
        <v>221.00000000000017</v>
      </c>
      <c r="L74" s="189">
        <v>32</v>
      </c>
      <c r="M74" s="189">
        <v>5.9999999999999885</v>
      </c>
      <c r="N74" s="189">
        <v>1.9999999999999987</v>
      </c>
      <c r="O74" s="189">
        <v>0</v>
      </c>
      <c r="P74" s="189">
        <v>0</v>
      </c>
      <c r="Q74" s="189">
        <v>0</v>
      </c>
      <c r="R74" s="189">
        <v>0</v>
      </c>
      <c r="S74" s="189">
        <v>0</v>
      </c>
      <c r="T74" s="189">
        <v>0</v>
      </c>
      <c r="U74" s="189">
        <v>0</v>
      </c>
      <c r="V74" s="189">
        <v>73.16714697406346</v>
      </c>
      <c r="W74" s="189">
        <v>0</v>
      </c>
      <c r="X74" s="189">
        <v>149.07210031347972</v>
      </c>
      <c r="Y74" s="189">
        <v>0</v>
      </c>
      <c r="Z74" s="189">
        <v>1.6999999999998292</v>
      </c>
      <c r="AA74" s="244">
        <v>0</v>
      </c>
      <c r="AB74" s="253">
        <v>1284025.2122056305</v>
      </c>
      <c r="AC74" s="190">
        <v>0</v>
      </c>
      <c r="AD74" s="190">
        <v>0</v>
      </c>
      <c r="AE74" s="190">
        <v>142568.72734939758</v>
      </c>
      <c r="AF74" s="190">
        <v>0</v>
      </c>
      <c r="AG74" s="190">
        <v>5508.850000000011</v>
      </c>
      <c r="AH74" s="190">
        <v>28646.020000000022</v>
      </c>
      <c r="AI74" s="190">
        <v>6221.76</v>
      </c>
      <c r="AJ74" s="190">
        <v>1555.436111399997</v>
      </c>
      <c r="AK74" s="190">
        <v>648.0983797499995</v>
      </c>
      <c r="AL74" s="190">
        <v>0</v>
      </c>
      <c r="AM74" s="190">
        <v>0</v>
      </c>
      <c r="AN74" s="190">
        <v>0</v>
      </c>
      <c r="AO74" s="190">
        <v>0</v>
      </c>
      <c r="AP74" s="190">
        <v>0</v>
      </c>
      <c r="AQ74" s="190">
        <v>0</v>
      </c>
      <c r="AR74" s="190">
        <v>0</v>
      </c>
      <c r="AS74" s="189">
        <v>54076.374985590825</v>
      </c>
      <c r="AT74" s="189">
        <v>0</v>
      </c>
      <c r="AU74" s="190">
        <v>87952.53918495304</v>
      </c>
      <c r="AV74" s="190">
        <v>0</v>
      </c>
      <c r="AW74" s="190">
        <v>1359.9999999998633</v>
      </c>
      <c r="AX74" s="190">
        <v>0</v>
      </c>
      <c r="AY74" s="190">
        <v>140000</v>
      </c>
      <c r="AZ74" s="191">
        <v>9550</v>
      </c>
      <c r="BA74" s="191">
        <v>-652.12</v>
      </c>
      <c r="BB74" s="190">
        <v>0</v>
      </c>
      <c r="BC74" s="190">
        <v>0</v>
      </c>
      <c r="BD74" s="268">
        <v>0</v>
      </c>
      <c r="BE74" s="253">
        <v>1284025.2122056305</v>
      </c>
      <c r="BF74" s="190">
        <v>328537.80601109134</v>
      </c>
      <c r="BG74" s="190">
        <v>148897.88</v>
      </c>
      <c r="BH74" s="190">
        <v>87952.53918495304</v>
      </c>
      <c r="BI74" s="218">
        <f t="shared" si="1"/>
        <v>1761460.8982167216</v>
      </c>
      <c r="BJ74" s="190">
        <v>1761460.8982167216</v>
      </c>
      <c r="BK74" s="190">
        <v>0</v>
      </c>
      <c r="BL74" s="190">
        <v>1612563.0182167217</v>
      </c>
      <c r="BM74" s="190">
        <v>4001.39706753529</v>
      </c>
      <c r="BN74" s="190">
        <v>4042.6390311881187</v>
      </c>
      <c r="BO74" s="219">
        <v>-0.010201742805789909</v>
      </c>
      <c r="BP74" s="220">
        <v>0</v>
      </c>
      <c r="BQ74" s="268">
        <v>0</v>
      </c>
      <c r="BR74" s="266">
        <v>1761460.8982167216</v>
      </c>
      <c r="BS74" s="238">
        <v>0</v>
      </c>
      <c r="BT74" s="254">
        <v>0</v>
      </c>
      <c r="BU74" s="272">
        <v>1761460.8982167216</v>
      </c>
      <c r="BV74" s="10"/>
      <c r="BW74" s="228">
        <v>118502.61549229262</v>
      </c>
      <c r="BX74" s="188">
        <v>0</v>
      </c>
      <c r="BY74" s="188"/>
      <c r="BZ74" s="188"/>
      <c r="CA74" s="229">
        <v>24542</v>
      </c>
      <c r="CC74" s="235"/>
      <c r="CD74" s="224"/>
      <c r="CE74" s="224"/>
      <c r="CF74" s="224"/>
      <c r="CG74" s="224"/>
      <c r="CH74" s="224"/>
      <c r="CI74" s="224"/>
      <c r="CJ74" s="229"/>
    </row>
    <row r="75" spans="1:88" ht="15">
      <c r="A75" s="243">
        <v>5206</v>
      </c>
      <c r="B75" s="187" t="s">
        <v>42</v>
      </c>
      <c r="C75" s="189">
        <v>507</v>
      </c>
      <c r="D75" s="189">
        <v>507</v>
      </c>
      <c r="E75" s="189">
        <v>0</v>
      </c>
      <c r="F75" s="189">
        <v>0</v>
      </c>
      <c r="G75" s="189">
        <v>0</v>
      </c>
      <c r="H75" s="189">
        <v>159.95219885277245</v>
      </c>
      <c r="I75" s="189">
        <v>0</v>
      </c>
      <c r="J75" s="189">
        <v>215.00000000000017</v>
      </c>
      <c r="K75" s="189">
        <v>65.99999999999979</v>
      </c>
      <c r="L75" s="189">
        <v>116.00000000000023</v>
      </c>
      <c r="M75" s="189">
        <v>26.00000000000001</v>
      </c>
      <c r="N75" s="189">
        <v>10.999999999999982</v>
      </c>
      <c r="O75" s="189">
        <v>0</v>
      </c>
      <c r="P75" s="189">
        <v>0</v>
      </c>
      <c r="Q75" s="189">
        <v>0</v>
      </c>
      <c r="R75" s="189">
        <v>0</v>
      </c>
      <c r="S75" s="189">
        <v>0</v>
      </c>
      <c r="T75" s="189">
        <v>0</v>
      </c>
      <c r="U75" s="189">
        <v>0</v>
      </c>
      <c r="V75" s="189">
        <v>127.33953488372072</v>
      </c>
      <c r="W75" s="189">
        <v>0</v>
      </c>
      <c r="X75" s="189">
        <v>189.50970873786395</v>
      </c>
      <c r="Y75" s="189">
        <v>0</v>
      </c>
      <c r="Z75" s="189">
        <v>0</v>
      </c>
      <c r="AA75" s="244">
        <v>0</v>
      </c>
      <c r="AB75" s="253">
        <v>1615386.5572909545</v>
      </c>
      <c r="AC75" s="190">
        <v>0</v>
      </c>
      <c r="AD75" s="190">
        <v>0</v>
      </c>
      <c r="AE75" s="190">
        <v>161953.20086042065</v>
      </c>
      <c r="AF75" s="190">
        <v>0</v>
      </c>
      <c r="AG75" s="190">
        <v>13934.150000000012</v>
      </c>
      <c r="AH75" s="190">
        <v>8554.919999999973</v>
      </c>
      <c r="AI75" s="190">
        <v>22553.880000000045</v>
      </c>
      <c r="AJ75" s="190">
        <v>6740.2231494000025</v>
      </c>
      <c r="AK75" s="190">
        <v>3564.541088624994</v>
      </c>
      <c r="AL75" s="190">
        <v>0</v>
      </c>
      <c r="AM75" s="190">
        <v>0</v>
      </c>
      <c r="AN75" s="190">
        <v>0</v>
      </c>
      <c r="AO75" s="190">
        <v>0</v>
      </c>
      <c r="AP75" s="190">
        <v>0</v>
      </c>
      <c r="AQ75" s="190">
        <v>0</v>
      </c>
      <c r="AR75" s="190">
        <v>0</v>
      </c>
      <c r="AS75" s="189">
        <v>94114.10344186031</v>
      </c>
      <c r="AT75" s="189">
        <v>0</v>
      </c>
      <c r="AU75" s="190">
        <v>111810.72815533973</v>
      </c>
      <c r="AV75" s="190">
        <v>0</v>
      </c>
      <c r="AW75" s="190">
        <v>0</v>
      </c>
      <c r="AX75" s="190">
        <v>0</v>
      </c>
      <c r="AY75" s="190">
        <v>140000</v>
      </c>
      <c r="AZ75" s="191">
        <v>12600</v>
      </c>
      <c r="BA75" s="191">
        <v>327.6</v>
      </c>
      <c r="BB75" s="190">
        <v>0</v>
      </c>
      <c r="BC75" s="190">
        <v>0</v>
      </c>
      <c r="BD75" s="268">
        <v>0</v>
      </c>
      <c r="BE75" s="253">
        <v>1615386.5572909545</v>
      </c>
      <c r="BF75" s="190">
        <v>423225.74669564574</v>
      </c>
      <c r="BG75" s="190">
        <v>152927.6</v>
      </c>
      <c r="BH75" s="190">
        <v>111810.72815533973</v>
      </c>
      <c r="BI75" s="218">
        <f t="shared" si="1"/>
        <v>2191539.9039866</v>
      </c>
      <c r="BJ75" s="190">
        <v>2191539.9039866</v>
      </c>
      <c r="BK75" s="190">
        <v>0</v>
      </c>
      <c r="BL75" s="190">
        <v>2038612.3039866001</v>
      </c>
      <c r="BM75" s="190">
        <v>4020.931566048521</v>
      </c>
      <c r="BN75" s="190">
        <v>4008.624292816635</v>
      </c>
      <c r="BO75" s="219">
        <v>0.003070198734748075</v>
      </c>
      <c r="BP75" s="220">
        <v>0</v>
      </c>
      <c r="BQ75" s="268">
        <v>0</v>
      </c>
      <c r="BR75" s="266">
        <v>2191539.9039866</v>
      </c>
      <c r="BS75" s="238">
        <v>0</v>
      </c>
      <c r="BT75" s="254">
        <v>0</v>
      </c>
      <c r="BU75" s="272">
        <v>2191539.9039866</v>
      </c>
      <c r="BV75" s="10"/>
      <c r="BW75" s="228">
        <v>207127.81832787674</v>
      </c>
      <c r="BX75" s="188">
        <v>41263.74505750669</v>
      </c>
      <c r="BY75" s="188"/>
      <c r="BZ75" s="188"/>
      <c r="CA75" s="229">
        <v>66584</v>
      </c>
      <c r="CC75" s="235"/>
      <c r="CD75" s="224"/>
      <c r="CE75" s="224"/>
      <c r="CF75" s="224"/>
      <c r="CG75" s="224"/>
      <c r="CH75" s="224"/>
      <c r="CI75" s="224"/>
      <c r="CJ75" s="229"/>
    </row>
    <row r="76" spans="1:88" ht="15">
      <c r="A76" s="243">
        <v>4000</v>
      </c>
      <c r="B76" s="187" t="s">
        <v>139</v>
      </c>
      <c r="C76" s="189">
        <v>55</v>
      </c>
      <c r="D76" s="189">
        <v>0</v>
      </c>
      <c r="E76" s="189">
        <v>55</v>
      </c>
      <c r="F76" s="189">
        <v>14</v>
      </c>
      <c r="G76" s="189">
        <v>41</v>
      </c>
      <c r="H76" s="189">
        <v>0</v>
      </c>
      <c r="I76" s="189">
        <v>31.428571428571427</v>
      </c>
      <c r="J76" s="189">
        <v>0</v>
      </c>
      <c r="K76" s="189">
        <v>0</v>
      </c>
      <c r="L76" s="189">
        <v>0</v>
      </c>
      <c r="M76" s="189">
        <v>0</v>
      </c>
      <c r="N76" s="189">
        <v>0</v>
      </c>
      <c r="O76" s="189">
        <v>0</v>
      </c>
      <c r="P76" s="189">
        <v>15.000000000000014</v>
      </c>
      <c r="Q76" s="189">
        <v>17.999999999999986</v>
      </c>
      <c r="R76" s="189">
        <v>10.000000000000009</v>
      </c>
      <c r="S76" s="189">
        <v>0</v>
      </c>
      <c r="T76" s="189">
        <v>2.0000000000000018</v>
      </c>
      <c r="U76" s="189">
        <v>0</v>
      </c>
      <c r="V76" s="189">
        <v>0</v>
      </c>
      <c r="W76" s="189">
        <v>3.9999999999999982</v>
      </c>
      <c r="X76" s="189">
        <v>0</v>
      </c>
      <c r="Y76" s="189">
        <v>25.64109631878788</v>
      </c>
      <c r="Z76" s="189">
        <v>0</v>
      </c>
      <c r="AA76" s="244">
        <v>0</v>
      </c>
      <c r="AB76" s="253">
        <v>0</v>
      </c>
      <c r="AC76" s="190">
        <v>57839.212360536156</v>
      </c>
      <c r="AD76" s="190">
        <v>193584.1818462388</v>
      </c>
      <c r="AE76" s="190">
        <v>0</v>
      </c>
      <c r="AF76" s="190">
        <v>41368.26571428571</v>
      </c>
      <c r="AG76" s="190">
        <v>0</v>
      </c>
      <c r="AH76" s="190">
        <v>0</v>
      </c>
      <c r="AI76" s="190">
        <v>0</v>
      </c>
      <c r="AJ76" s="190">
        <v>0</v>
      </c>
      <c r="AK76" s="190">
        <v>0</v>
      </c>
      <c r="AL76" s="190">
        <v>0</v>
      </c>
      <c r="AM76" s="190">
        <v>1263.7950000000012</v>
      </c>
      <c r="AN76" s="190">
        <v>3033.1079999999974</v>
      </c>
      <c r="AO76" s="190">
        <v>2527.5900000000024</v>
      </c>
      <c r="AP76" s="190">
        <v>0</v>
      </c>
      <c r="AQ76" s="190">
        <v>842.5278936750008</v>
      </c>
      <c r="AR76" s="190">
        <v>0</v>
      </c>
      <c r="AS76" s="189">
        <v>0</v>
      </c>
      <c r="AT76" s="189">
        <v>4454.559999999999</v>
      </c>
      <c r="AU76" s="190">
        <v>0</v>
      </c>
      <c r="AV76" s="190">
        <v>42307.808926000005</v>
      </c>
      <c r="AW76" s="190">
        <v>0</v>
      </c>
      <c r="AX76" s="190">
        <v>0</v>
      </c>
      <c r="AY76" s="190">
        <v>140000</v>
      </c>
      <c r="AZ76" s="191">
        <v>0</v>
      </c>
      <c r="BA76" s="191">
        <v>0</v>
      </c>
      <c r="BB76" s="190">
        <v>0</v>
      </c>
      <c r="BC76" s="190">
        <v>0</v>
      </c>
      <c r="BD76" s="268">
        <v>0</v>
      </c>
      <c r="BE76" s="253">
        <v>251423.39420677494</v>
      </c>
      <c r="BF76" s="190">
        <v>95797.65553396073</v>
      </c>
      <c r="BG76" s="190">
        <v>140000</v>
      </c>
      <c r="BH76" s="190">
        <v>42307.808926000005</v>
      </c>
      <c r="BI76" s="218">
        <f t="shared" si="1"/>
        <v>487221.0497407357</v>
      </c>
      <c r="BJ76" s="190">
        <v>0</v>
      </c>
      <c r="BK76" s="190">
        <v>487221.04974073573</v>
      </c>
      <c r="BL76" s="190">
        <v>347221.0497407357</v>
      </c>
      <c r="BM76" s="190">
        <v>6313.109995286103</v>
      </c>
      <c r="BN76" s="190">
        <v>7235.4078328125</v>
      </c>
      <c r="BO76" s="219">
        <v>-0.12747005543264409</v>
      </c>
      <c r="BP76" s="220">
        <v>0.11247005543264409</v>
      </c>
      <c r="BQ76" s="268">
        <v>44757.1696018815</v>
      </c>
      <c r="BR76" s="266">
        <v>531978.2193426172</v>
      </c>
      <c r="BS76" s="238">
        <v>0</v>
      </c>
      <c r="BT76" s="254">
        <v>0</v>
      </c>
      <c r="BU76" s="272">
        <v>531978.2193426172</v>
      </c>
      <c r="BV76" s="10"/>
      <c r="BW76" s="228"/>
      <c r="BX76" s="188"/>
      <c r="BY76" s="188"/>
      <c r="BZ76" s="188"/>
      <c r="CA76" s="229">
        <v>3700</v>
      </c>
      <c r="CC76" s="235"/>
      <c r="CD76" s="224"/>
      <c r="CE76" s="224"/>
      <c r="CF76" s="224"/>
      <c r="CG76" s="224"/>
      <c r="CH76" s="224"/>
      <c r="CI76" s="224"/>
      <c r="CJ76" s="229"/>
    </row>
    <row r="77" spans="1:88" ht="15">
      <c r="A77" s="243">
        <v>4024</v>
      </c>
      <c r="B77" s="196" t="s">
        <v>145</v>
      </c>
      <c r="C77" s="189">
        <v>56</v>
      </c>
      <c r="D77" s="189">
        <v>0</v>
      </c>
      <c r="E77" s="189">
        <v>56</v>
      </c>
      <c r="F77" s="189">
        <v>0</v>
      </c>
      <c r="G77" s="189">
        <v>56</v>
      </c>
      <c r="H77" s="189">
        <v>0</v>
      </c>
      <c r="I77" s="189">
        <v>21.132075471698116</v>
      </c>
      <c r="J77" s="189">
        <v>0</v>
      </c>
      <c r="K77" s="189">
        <v>0</v>
      </c>
      <c r="L77" s="189">
        <v>0</v>
      </c>
      <c r="M77" s="189">
        <v>0</v>
      </c>
      <c r="N77" s="189">
        <v>0</v>
      </c>
      <c r="O77" s="189">
        <v>0</v>
      </c>
      <c r="P77" s="189">
        <v>3.9999999999999982</v>
      </c>
      <c r="Q77" s="189">
        <v>10.000000000000023</v>
      </c>
      <c r="R77" s="189">
        <v>5.999999999999992</v>
      </c>
      <c r="S77" s="189">
        <v>3.9999999999999982</v>
      </c>
      <c r="T77" s="189">
        <v>5.000000000000001</v>
      </c>
      <c r="U77" s="189">
        <v>1.0000000000000024</v>
      </c>
      <c r="V77" s="189">
        <v>0</v>
      </c>
      <c r="W77" s="189">
        <v>1.0000000000000024</v>
      </c>
      <c r="X77" s="189">
        <v>0</v>
      </c>
      <c r="Y77" s="189">
        <v>12.833333333333352</v>
      </c>
      <c r="Z77" s="189">
        <v>0</v>
      </c>
      <c r="AA77" s="244">
        <v>0</v>
      </c>
      <c r="AB77" s="253">
        <v>0</v>
      </c>
      <c r="AC77" s="190">
        <v>0</v>
      </c>
      <c r="AD77" s="190">
        <v>264407.6630094969</v>
      </c>
      <c r="AE77" s="190">
        <v>0</v>
      </c>
      <c r="AF77" s="190">
        <v>27815.369056603777</v>
      </c>
      <c r="AG77" s="190">
        <v>0</v>
      </c>
      <c r="AH77" s="190">
        <v>0</v>
      </c>
      <c r="AI77" s="190">
        <v>0</v>
      </c>
      <c r="AJ77" s="190">
        <v>0</v>
      </c>
      <c r="AK77" s="190">
        <v>0</v>
      </c>
      <c r="AL77" s="190">
        <v>0</v>
      </c>
      <c r="AM77" s="190">
        <v>337.01199999999983</v>
      </c>
      <c r="AN77" s="190">
        <v>1685.0600000000038</v>
      </c>
      <c r="AO77" s="190">
        <v>1516.553999999998</v>
      </c>
      <c r="AP77" s="190">
        <v>1348.0446298799993</v>
      </c>
      <c r="AQ77" s="190">
        <v>2106.3197341875</v>
      </c>
      <c r="AR77" s="190">
        <v>505.5167362050012</v>
      </c>
      <c r="AS77" s="189">
        <v>0</v>
      </c>
      <c r="AT77" s="189">
        <v>1113.6400000000028</v>
      </c>
      <c r="AU77" s="190">
        <v>0</v>
      </c>
      <c r="AV77" s="190">
        <v>21175.00000000003</v>
      </c>
      <c r="AW77" s="190">
        <v>0</v>
      </c>
      <c r="AX77" s="190">
        <v>0</v>
      </c>
      <c r="AY77" s="190">
        <v>140000</v>
      </c>
      <c r="AZ77" s="191">
        <v>26750</v>
      </c>
      <c r="BA77" s="191">
        <v>5029.59</v>
      </c>
      <c r="BB77" s="190">
        <v>0</v>
      </c>
      <c r="BC77" s="190">
        <v>0</v>
      </c>
      <c r="BD77" s="268">
        <v>0</v>
      </c>
      <c r="BE77" s="253">
        <v>264407.6630094969</v>
      </c>
      <c r="BF77" s="190">
        <v>57602.5161568763</v>
      </c>
      <c r="BG77" s="190">
        <v>171779.59</v>
      </c>
      <c r="BH77" s="190">
        <v>21175.00000000003</v>
      </c>
      <c r="BI77" s="218">
        <f t="shared" si="1"/>
        <v>493789.7691663732</v>
      </c>
      <c r="BJ77" s="190">
        <v>0</v>
      </c>
      <c r="BK77" s="190">
        <v>493789.7691663732</v>
      </c>
      <c r="BL77" s="190">
        <v>322010.17916637316</v>
      </c>
      <c r="BM77" s="190">
        <v>5750.181770828092</v>
      </c>
      <c r="BN77" s="190">
        <v>5819.697228846154</v>
      </c>
      <c r="BO77" s="219">
        <v>-0.011944858174665564</v>
      </c>
      <c r="BP77" s="220">
        <v>0</v>
      </c>
      <c r="BQ77" s="268">
        <v>0</v>
      </c>
      <c r="BR77" s="266">
        <v>493789.7691663732</v>
      </c>
      <c r="BS77" s="238">
        <v>0</v>
      </c>
      <c r="BT77" s="254">
        <v>0</v>
      </c>
      <c r="BU77" s="272">
        <v>493789.7691663732</v>
      </c>
      <c r="BV77" s="10"/>
      <c r="BW77" s="228"/>
      <c r="BX77" s="188"/>
      <c r="BY77" s="188"/>
      <c r="BZ77" s="188"/>
      <c r="CA77" s="229">
        <v>2200</v>
      </c>
      <c r="CC77" s="235"/>
      <c r="CD77" s="224"/>
      <c r="CE77" s="224"/>
      <c r="CF77" s="224"/>
      <c r="CG77" s="224"/>
      <c r="CH77" s="224"/>
      <c r="CI77" s="224"/>
      <c r="CJ77" s="229"/>
    </row>
    <row r="78" spans="1:88" ht="15">
      <c r="A78" s="243">
        <v>4009</v>
      </c>
      <c r="B78" s="196" t="s">
        <v>150</v>
      </c>
      <c r="C78" s="189">
        <v>100</v>
      </c>
      <c r="D78" s="189">
        <v>0</v>
      </c>
      <c r="E78" s="189">
        <v>100</v>
      </c>
      <c r="F78" s="189">
        <v>36</v>
      </c>
      <c r="G78" s="189">
        <v>64</v>
      </c>
      <c r="H78" s="189">
        <v>0</v>
      </c>
      <c r="I78" s="189">
        <v>41.17647058823529</v>
      </c>
      <c r="J78" s="189">
        <v>0</v>
      </c>
      <c r="K78" s="189">
        <v>0</v>
      </c>
      <c r="L78" s="189">
        <v>0</v>
      </c>
      <c r="M78" s="189">
        <v>0</v>
      </c>
      <c r="N78" s="189">
        <v>0</v>
      </c>
      <c r="O78" s="189">
        <v>0</v>
      </c>
      <c r="P78" s="189">
        <v>24</v>
      </c>
      <c r="Q78" s="189">
        <v>27</v>
      </c>
      <c r="R78" s="189">
        <v>17</v>
      </c>
      <c r="S78" s="189">
        <v>8</v>
      </c>
      <c r="T78" s="189">
        <v>3</v>
      </c>
      <c r="U78" s="189">
        <v>0</v>
      </c>
      <c r="V78" s="189">
        <v>0</v>
      </c>
      <c r="W78" s="189">
        <v>21.4285714285714</v>
      </c>
      <c r="X78" s="189">
        <v>0</v>
      </c>
      <c r="Y78" s="189">
        <v>27.855745573139775</v>
      </c>
      <c r="Z78" s="189">
        <v>0</v>
      </c>
      <c r="AA78" s="244">
        <v>0</v>
      </c>
      <c r="AB78" s="253">
        <v>0</v>
      </c>
      <c r="AC78" s="190">
        <v>148729.40321280726</v>
      </c>
      <c r="AD78" s="190">
        <v>302180.18629656784</v>
      </c>
      <c r="AE78" s="190">
        <v>0</v>
      </c>
      <c r="AF78" s="190">
        <v>54199.064705882345</v>
      </c>
      <c r="AG78" s="190">
        <v>0</v>
      </c>
      <c r="AH78" s="190">
        <v>0</v>
      </c>
      <c r="AI78" s="190">
        <v>0</v>
      </c>
      <c r="AJ78" s="190">
        <v>0</v>
      </c>
      <c r="AK78" s="190">
        <v>0</v>
      </c>
      <c r="AL78" s="190">
        <v>0</v>
      </c>
      <c r="AM78" s="190">
        <v>2022.0720000000001</v>
      </c>
      <c r="AN78" s="190">
        <v>4549.662</v>
      </c>
      <c r="AO78" s="190">
        <v>4296.903</v>
      </c>
      <c r="AP78" s="190">
        <v>2696.08925976</v>
      </c>
      <c r="AQ78" s="190">
        <v>1263.7918405125</v>
      </c>
      <c r="AR78" s="190">
        <v>0</v>
      </c>
      <c r="AS78" s="189">
        <v>0</v>
      </c>
      <c r="AT78" s="189">
        <v>23863.714285714253</v>
      </c>
      <c r="AU78" s="190">
        <v>0</v>
      </c>
      <c r="AV78" s="190">
        <v>45961.980195680626</v>
      </c>
      <c r="AW78" s="190">
        <v>0</v>
      </c>
      <c r="AX78" s="190">
        <v>0</v>
      </c>
      <c r="AY78" s="190">
        <v>140000</v>
      </c>
      <c r="AZ78" s="191">
        <v>0</v>
      </c>
      <c r="BA78" s="191">
        <v>0</v>
      </c>
      <c r="BB78" s="190">
        <v>0</v>
      </c>
      <c r="BC78" s="190">
        <v>0</v>
      </c>
      <c r="BD78" s="268">
        <v>0</v>
      </c>
      <c r="BE78" s="253">
        <v>450909.5895093751</v>
      </c>
      <c r="BF78" s="190">
        <v>138853.27728754972</v>
      </c>
      <c r="BG78" s="190">
        <v>140000</v>
      </c>
      <c r="BH78" s="190">
        <v>45961.980195680626</v>
      </c>
      <c r="BI78" s="218">
        <f t="shared" si="1"/>
        <v>729762.8667969248</v>
      </c>
      <c r="BJ78" s="190">
        <v>0</v>
      </c>
      <c r="BK78" s="190">
        <v>729762.8667969247</v>
      </c>
      <c r="BL78" s="190">
        <v>589762.8667969248</v>
      </c>
      <c r="BM78" s="190">
        <v>5897.628667969248</v>
      </c>
      <c r="BN78" s="190">
        <v>6100.160820000001</v>
      </c>
      <c r="BO78" s="219">
        <v>-0.0332011168241221</v>
      </c>
      <c r="BP78" s="220">
        <v>0.0182011168241221</v>
      </c>
      <c r="BQ78" s="268">
        <v>11102.973973075248</v>
      </c>
      <c r="BR78" s="266">
        <v>740865.8407700001</v>
      </c>
      <c r="BS78" s="238">
        <v>0</v>
      </c>
      <c r="BT78" s="254">
        <v>0</v>
      </c>
      <c r="BU78" s="272">
        <v>740865.8407700001</v>
      </c>
      <c r="BV78" s="10"/>
      <c r="BW78" s="228"/>
      <c r="BX78" s="188"/>
      <c r="BY78" s="188"/>
      <c r="BZ78" s="188"/>
      <c r="CA78" s="229">
        <v>0</v>
      </c>
      <c r="CC78" s="235"/>
      <c r="CD78" s="224"/>
      <c r="CE78" s="224"/>
      <c r="CF78" s="224"/>
      <c r="CG78" s="224"/>
      <c r="CH78" s="224"/>
      <c r="CI78" s="224"/>
      <c r="CJ78" s="229"/>
    </row>
    <row r="79" spans="1:88" ht="15">
      <c r="A79" s="243">
        <v>4014</v>
      </c>
      <c r="B79" s="187" t="s">
        <v>199</v>
      </c>
      <c r="C79" s="189">
        <v>152</v>
      </c>
      <c r="D79" s="189">
        <v>0</v>
      </c>
      <c r="E79" s="189">
        <v>152</v>
      </c>
      <c r="F79" s="189">
        <v>0</v>
      </c>
      <c r="G79" s="189">
        <v>152</v>
      </c>
      <c r="H79" s="189">
        <v>0</v>
      </c>
      <c r="I79" s="189">
        <v>49.83606557377049</v>
      </c>
      <c r="J79" s="189">
        <v>0</v>
      </c>
      <c r="K79" s="189">
        <v>0</v>
      </c>
      <c r="L79" s="189">
        <v>0</v>
      </c>
      <c r="M79" s="189">
        <v>0</v>
      </c>
      <c r="N79" s="189">
        <v>0</v>
      </c>
      <c r="O79" s="189">
        <v>0</v>
      </c>
      <c r="P79" s="189">
        <v>13.000000000000002</v>
      </c>
      <c r="Q79" s="189">
        <v>20.999999999999986</v>
      </c>
      <c r="R79" s="189">
        <v>25.999999999999947</v>
      </c>
      <c r="S79" s="189">
        <v>7.000000000000005</v>
      </c>
      <c r="T79" s="189">
        <v>9.000000000000004</v>
      </c>
      <c r="U79" s="189">
        <v>0.9999999999999996</v>
      </c>
      <c r="V79" s="189">
        <v>0</v>
      </c>
      <c r="W79" s="189">
        <v>5.000000000000006</v>
      </c>
      <c r="X79" s="189">
        <v>0</v>
      </c>
      <c r="Y79" s="189">
        <v>31.761194029850746</v>
      </c>
      <c r="Z79" s="189">
        <v>0</v>
      </c>
      <c r="AA79" s="244">
        <v>0</v>
      </c>
      <c r="AB79" s="253">
        <v>0</v>
      </c>
      <c r="AC79" s="190">
        <v>0</v>
      </c>
      <c r="AD79" s="190">
        <v>717677.9424543487</v>
      </c>
      <c r="AE79" s="190">
        <v>0</v>
      </c>
      <c r="AF79" s="190">
        <v>65597.36918032786</v>
      </c>
      <c r="AG79" s="190">
        <v>0</v>
      </c>
      <c r="AH79" s="190">
        <v>0</v>
      </c>
      <c r="AI79" s="190">
        <v>0</v>
      </c>
      <c r="AJ79" s="190">
        <v>0</v>
      </c>
      <c r="AK79" s="190">
        <v>0</v>
      </c>
      <c r="AL79" s="190">
        <v>0</v>
      </c>
      <c r="AM79" s="190">
        <v>1095.2890000000002</v>
      </c>
      <c r="AN79" s="190">
        <v>3538.6259999999975</v>
      </c>
      <c r="AO79" s="190">
        <v>6571.733999999987</v>
      </c>
      <c r="AP79" s="190">
        <v>2359.078102290002</v>
      </c>
      <c r="AQ79" s="190">
        <v>3791.3755215375013</v>
      </c>
      <c r="AR79" s="190">
        <v>505.51673620499975</v>
      </c>
      <c r="AS79" s="189">
        <v>0</v>
      </c>
      <c r="AT79" s="189">
        <v>5568.200000000007</v>
      </c>
      <c r="AU79" s="190">
        <v>0</v>
      </c>
      <c r="AV79" s="190">
        <v>52405.97014925373</v>
      </c>
      <c r="AW79" s="190">
        <v>0</v>
      </c>
      <c r="AX79" s="190">
        <v>0</v>
      </c>
      <c r="AY79" s="190">
        <v>140000</v>
      </c>
      <c r="AZ79" s="191">
        <v>40750</v>
      </c>
      <c r="BA79" s="191">
        <v>4041.07</v>
      </c>
      <c r="BB79" s="190">
        <v>0</v>
      </c>
      <c r="BC79" s="190">
        <v>0</v>
      </c>
      <c r="BD79" s="268">
        <v>0</v>
      </c>
      <c r="BE79" s="253">
        <v>717677.9424543487</v>
      </c>
      <c r="BF79" s="190">
        <v>141433.1586896141</v>
      </c>
      <c r="BG79" s="190">
        <v>184791.07</v>
      </c>
      <c r="BH79" s="190">
        <v>52405.97014925373</v>
      </c>
      <c r="BI79" s="218">
        <f t="shared" si="1"/>
        <v>1043902.1711439628</v>
      </c>
      <c r="BJ79" s="190">
        <v>0</v>
      </c>
      <c r="BK79" s="190">
        <v>1043902.1711439628</v>
      </c>
      <c r="BL79" s="190">
        <v>859111.1011439628</v>
      </c>
      <c r="BM79" s="190">
        <v>5652.046718052387</v>
      </c>
      <c r="BN79" s="190">
        <v>5573.809680512821</v>
      </c>
      <c r="BO79" s="219">
        <v>0.014036546280562718</v>
      </c>
      <c r="BP79" s="220">
        <v>0</v>
      </c>
      <c r="BQ79" s="268">
        <v>0</v>
      </c>
      <c r="BR79" s="266">
        <v>1043902.1711439628</v>
      </c>
      <c r="BS79" s="238">
        <v>0</v>
      </c>
      <c r="BT79" s="254">
        <v>0</v>
      </c>
      <c r="BU79" s="272">
        <v>1043902.1711439628</v>
      </c>
      <c r="BV79" s="10"/>
      <c r="BW79" s="228"/>
      <c r="BX79" s="188"/>
      <c r="BY79" s="188"/>
      <c r="BZ79" s="188"/>
      <c r="CA79" s="229">
        <v>14600</v>
      </c>
      <c r="CC79" s="235"/>
      <c r="CD79" s="224"/>
      <c r="CE79" s="224"/>
      <c r="CF79" s="224"/>
      <c r="CG79" s="224"/>
      <c r="CH79" s="224"/>
      <c r="CI79" s="224"/>
      <c r="CJ79" s="229"/>
    </row>
    <row r="80" spans="1:88" ht="15">
      <c r="A80" s="243">
        <v>4021</v>
      </c>
      <c r="B80" s="223" t="s">
        <v>208</v>
      </c>
      <c r="C80" s="189">
        <v>656</v>
      </c>
      <c r="D80" s="189">
        <v>0</v>
      </c>
      <c r="E80" s="189">
        <v>656</v>
      </c>
      <c r="F80" s="189">
        <v>385</v>
      </c>
      <c r="G80" s="189">
        <v>271</v>
      </c>
      <c r="H80" s="189">
        <v>0</v>
      </c>
      <c r="I80" s="189">
        <v>333.16165951359085</v>
      </c>
      <c r="J80" s="189">
        <v>0</v>
      </c>
      <c r="K80" s="189">
        <v>0</v>
      </c>
      <c r="L80" s="189">
        <v>0</v>
      </c>
      <c r="M80" s="189">
        <v>0</v>
      </c>
      <c r="N80" s="189">
        <v>0</v>
      </c>
      <c r="O80" s="189">
        <v>0</v>
      </c>
      <c r="P80" s="189">
        <v>66.99999999999973</v>
      </c>
      <c r="Q80" s="189">
        <v>184.9999999999999</v>
      </c>
      <c r="R80" s="189">
        <v>191.9999999999998</v>
      </c>
      <c r="S80" s="189">
        <v>113.99999999999997</v>
      </c>
      <c r="T80" s="189">
        <v>13.99999999999997</v>
      </c>
      <c r="U80" s="189">
        <v>0</v>
      </c>
      <c r="V80" s="189">
        <v>0</v>
      </c>
      <c r="W80" s="189">
        <v>20.03053435114506</v>
      </c>
      <c r="X80" s="189">
        <v>0</v>
      </c>
      <c r="Y80" s="189">
        <v>169.8558008121644</v>
      </c>
      <c r="Z80" s="189">
        <v>0</v>
      </c>
      <c r="AA80" s="244">
        <v>0</v>
      </c>
      <c r="AB80" s="253">
        <v>0</v>
      </c>
      <c r="AC80" s="190">
        <v>1590578.3399147443</v>
      </c>
      <c r="AD80" s="190">
        <v>1279544.2263495296</v>
      </c>
      <c r="AE80" s="190">
        <v>0</v>
      </c>
      <c r="AF80" s="190">
        <v>438528.3654363376</v>
      </c>
      <c r="AG80" s="190">
        <v>0</v>
      </c>
      <c r="AH80" s="190">
        <v>0</v>
      </c>
      <c r="AI80" s="190">
        <v>0</v>
      </c>
      <c r="AJ80" s="190">
        <v>0</v>
      </c>
      <c r="AK80" s="190">
        <v>0</v>
      </c>
      <c r="AL80" s="190">
        <v>0</v>
      </c>
      <c r="AM80" s="190">
        <v>5644.950999999977</v>
      </c>
      <c r="AN80" s="190">
        <v>31173.609999999982</v>
      </c>
      <c r="AO80" s="190">
        <v>48529.72799999995</v>
      </c>
      <c r="AP80" s="190">
        <v>38419.27195157999</v>
      </c>
      <c r="AQ80" s="190">
        <v>5897.695255724987</v>
      </c>
      <c r="AR80" s="190">
        <v>0</v>
      </c>
      <c r="AS80" s="189">
        <v>0</v>
      </c>
      <c r="AT80" s="189">
        <v>22306.804274809187</v>
      </c>
      <c r="AU80" s="190">
        <v>0</v>
      </c>
      <c r="AV80" s="190">
        <v>280262.07134007127</v>
      </c>
      <c r="AW80" s="190">
        <v>0</v>
      </c>
      <c r="AX80" s="190">
        <v>0</v>
      </c>
      <c r="AY80" s="190">
        <v>140000</v>
      </c>
      <c r="AZ80" s="191">
        <v>38000</v>
      </c>
      <c r="BA80" s="191">
        <v>12424.71</v>
      </c>
      <c r="BB80" s="190">
        <v>0</v>
      </c>
      <c r="BC80" s="190">
        <v>0</v>
      </c>
      <c r="BD80" s="268">
        <v>0</v>
      </c>
      <c r="BE80" s="253">
        <v>2870122.5662642736</v>
      </c>
      <c r="BF80" s="190">
        <v>870762.4972585229</v>
      </c>
      <c r="BG80" s="190">
        <v>190424.71</v>
      </c>
      <c r="BH80" s="190">
        <v>280262.07134007127</v>
      </c>
      <c r="BI80" s="218">
        <f t="shared" si="1"/>
        <v>3931309.7735227966</v>
      </c>
      <c r="BJ80" s="190">
        <v>0</v>
      </c>
      <c r="BK80" s="190">
        <v>3931309.773522796</v>
      </c>
      <c r="BL80" s="190">
        <v>3740885.0635227966</v>
      </c>
      <c r="BM80" s="190">
        <v>5702.5686943945075</v>
      </c>
      <c r="BN80" s="190">
        <v>5608.985954008438</v>
      </c>
      <c r="BO80" s="219">
        <v>0.01668443122400599</v>
      </c>
      <c r="BP80" s="220">
        <v>0</v>
      </c>
      <c r="BQ80" s="268">
        <v>0</v>
      </c>
      <c r="BR80" s="266">
        <v>3931309.7735227966</v>
      </c>
      <c r="BS80" s="238">
        <v>0</v>
      </c>
      <c r="BT80" s="254">
        <v>0</v>
      </c>
      <c r="BU80" s="272">
        <v>3931309.7735227966</v>
      </c>
      <c r="BV80" s="10"/>
      <c r="BW80" s="228"/>
      <c r="BX80" s="188"/>
      <c r="BY80" s="188"/>
      <c r="BZ80" s="188"/>
      <c r="CA80" s="229">
        <v>53458</v>
      </c>
      <c r="CC80" s="235"/>
      <c r="CD80" s="224"/>
      <c r="CE80" s="224"/>
      <c r="CF80" s="224"/>
      <c r="CG80" s="224"/>
      <c r="CH80" s="224"/>
      <c r="CI80" s="224"/>
      <c r="CJ80" s="229"/>
    </row>
    <row r="81" spans="1:88" ht="15">
      <c r="A81" s="243">
        <v>4023</v>
      </c>
      <c r="B81" s="196" t="s">
        <v>45</v>
      </c>
      <c r="C81" s="189">
        <v>904</v>
      </c>
      <c r="D81" s="189">
        <v>0</v>
      </c>
      <c r="E81" s="189">
        <v>904</v>
      </c>
      <c r="F81" s="189">
        <v>543</v>
      </c>
      <c r="G81" s="189">
        <v>361</v>
      </c>
      <c r="H81" s="189">
        <v>0</v>
      </c>
      <c r="I81" s="189">
        <v>189.2093023255814</v>
      </c>
      <c r="J81" s="189">
        <v>0</v>
      </c>
      <c r="K81" s="189">
        <v>0</v>
      </c>
      <c r="L81" s="189">
        <v>0</v>
      </c>
      <c r="M81" s="189">
        <v>0</v>
      </c>
      <c r="N81" s="189">
        <v>0</v>
      </c>
      <c r="O81" s="189">
        <v>0</v>
      </c>
      <c r="P81" s="189">
        <v>79.99999999999996</v>
      </c>
      <c r="Q81" s="189">
        <v>27.999999999999975</v>
      </c>
      <c r="R81" s="189">
        <v>26.00000000000004</v>
      </c>
      <c r="S81" s="189">
        <v>4.000000000000003</v>
      </c>
      <c r="T81" s="189">
        <v>7.000000000000003</v>
      </c>
      <c r="U81" s="189">
        <v>1.0000000000000029</v>
      </c>
      <c r="V81" s="189">
        <v>0</v>
      </c>
      <c r="W81" s="189">
        <v>31.00000000000001</v>
      </c>
      <c r="X81" s="189">
        <v>0</v>
      </c>
      <c r="Y81" s="189">
        <v>176.74809704290732</v>
      </c>
      <c r="Z81" s="189">
        <v>0</v>
      </c>
      <c r="AA81" s="244">
        <v>0</v>
      </c>
      <c r="AB81" s="253">
        <v>0</v>
      </c>
      <c r="AC81" s="190">
        <v>2243335.1651265095</v>
      </c>
      <c r="AD81" s="190">
        <v>1704485.113329078</v>
      </c>
      <c r="AE81" s="190">
        <v>0</v>
      </c>
      <c r="AF81" s="190">
        <v>249049.20390697673</v>
      </c>
      <c r="AG81" s="190">
        <v>0</v>
      </c>
      <c r="AH81" s="190">
        <v>0</v>
      </c>
      <c r="AI81" s="190">
        <v>0</v>
      </c>
      <c r="AJ81" s="190">
        <v>0</v>
      </c>
      <c r="AK81" s="190">
        <v>0</v>
      </c>
      <c r="AL81" s="190">
        <v>0</v>
      </c>
      <c r="AM81" s="190">
        <v>6740.239999999996</v>
      </c>
      <c r="AN81" s="190">
        <v>4718.167999999996</v>
      </c>
      <c r="AO81" s="190">
        <v>6571.73400000001</v>
      </c>
      <c r="AP81" s="190">
        <v>1348.044629880001</v>
      </c>
      <c r="AQ81" s="190">
        <v>2948.847627862501</v>
      </c>
      <c r="AR81" s="190">
        <v>505.51673620500145</v>
      </c>
      <c r="AS81" s="189">
        <v>0</v>
      </c>
      <c r="AT81" s="189">
        <v>34522.84000000002</v>
      </c>
      <c r="AU81" s="190">
        <v>0</v>
      </c>
      <c r="AV81" s="190">
        <v>291634.36012079706</v>
      </c>
      <c r="AW81" s="190">
        <v>0</v>
      </c>
      <c r="AX81" s="190">
        <v>0</v>
      </c>
      <c r="AY81" s="190">
        <v>140000</v>
      </c>
      <c r="AZ81" s="191">
        <v>18900</v>
      </c>
      <c r="BA81" s="191">
        <v>4212.31</v>
      </c>
      <c r="BB81" s="190">
        <v>0</v>
      </c>
      <c r="BC81" s="190">
        <v>0</v>
      </c>
      <c r="BD81" s="268">
        <v>0</v>
      </c>
      <c r="BE81" s="253">
        <v>3947820.2784555876</v>
      </c>
      <c r="BF81" s="190">
        <v>598038.9550217213</v>
      </c>
      <c r="BG81" s="190">
        <v>163112.31</v>
      </c>
      <c r="BH81" s="190">
        <v>291634.36012079706</v>
      </c>
      <c r="BI81" s="218">
        <f t="shared" si="1"/>
        <v>4708971.543477309</v>
      </c>
      <c r="BJ81" s="190">
        <v>0</v>
      </c>
      <c r="BK81" s="190">
        <v>4708971.543477309</v>
      </c>
      <c r="BL81" s="190">
        <v>4545859.233477309</v>
      </c>
      <c r="BM81" s="190">
        <v>5028.605346766935</v>
      </c>
      <c r="BN81" s="190">
        <v>5037.269466889632</v>
      </c>
      <c r="BO81" s="219">
        <v>-0.0017200033033068017</v>
      </c>
      <c r="BP81" s="220">
        <v>0</v>
      </c>
      <c r="BQ81" s="268">
        <v>0</v>
      </c>
      <c r="BR81" s="266">
        <v>4708971.543477309</v>
      </c>
      <c r="BS81" s="238">
        <v>0</v>
      </c>
      <c r="BT81" s="254">
        <v>0</v>
      </c>
      <c r="BU81" s="272">
        <v>4708971.543477309</v>
      </c>
      <c r="BV81" s="10"/>
      <c r="BW81" s="228"/>
      <c r="BX81" s="188"/>
      <c r="BY81" s="188">
        <v>63349</v>
      </c>
      <c r="BZ81" s="188"/>
      <c r="CA81" s="229">
        <v>135215</v>
      </c>
      <c r="CC81" s="235"/>
      <c r="CD81" s="224"/>
      <c r="CE81" s="224"/>
      <c r="CF81" s="224"/>
      <c r="CG81" s="224"/>
      <c r="CH81" s="224"/>
      <c r="CI81" s="224"/>
      <c r="CJ81" s="229"/>
    </row>
    <row r="82" spans="1:88" ht="15">
      <c r="A82" s="243">
        <v>4600</v>
      </c>
      <c r="B82" s="187" t="s">
        <v>46</v>
      </c>
      <c r="C82" s="189">
        <v>944</v>
      </c>
      <c r="D82" s="189">
        <v>0</v>
      </c>
      <c r="E82" s="189">
        <v>944</v>
      </c>
      <c r="F82" s="189">
        <v>569</v>
      </c>
      <c r="G82" s="189">
        <v>375</v>
      </c>
      <c r="H82" s="189">
        <v>0</v>
      </c>
      <c r="I82" s="189">
        <v>96.8973544973545</v>
      </c>
      <c r="J82" s="189">
        <v>0</v>
      </c>
      <c r="K82" s="189">
        <v>0</v>
      </c>
      <c r="L82" s="189">
        <v>0</v>
      </c>
      <c r="M82" s="189">
        <v>0</v>
      </c>
      <c r="N82" s="189">
        <v>0</v>
      </c>
      <c r="O82" s="189">
        <v>0</v>
      </c>
      <c r="P82" s="189">
        <v>111.99999999999984</v>
      </c>
      <c r="Q82" s="189">
        <v>97.00000000000038</v>
      </c>
      <c r="R82" s="189">
        <v>27.99999999999996</v>
      </c>
      <c r="S82" s="189">
        <v>23.99999999999998</v>
      </c>
      <c r="T82" s="189">
        <v>4</v>
      </c>
      <c r="U82" s="189">
        <v>0</v>
      </c>
      <c r="V82" s="189">
        <v>0</v>
      </c>
      <c r="W82" s="189">
        <v>0</v>
      </c>
      <c r="X82" s="189">
        <v>0</v>
      </c>
      <c r="Y82" s="189">
        <v>124.58257202252886</v>
      </c>
      <c r="Z82" s="189">
        <v>0</v>
      </c>
      <c r="AA82" s="244">
        <v>0</v>
      </c>
      <c r="AB82" s="253">
        <v>0</v>
      </c>
      <c r="AC82" s="190">
        <v>2350750.8452246482</v>
      </c>
      <c r="AD82" s="190">
        <v>1770587.0290814522</v>
      </c>
      <c r="AE82" s="190">
        <v>0</v>
      </c>
      <c r="AF82" s="190">
        <v>127542.40252275132</v>
      </c>
      <c r="AG82" s="190">
        <v>0</v>
      </c>
      <c r="AH82" s="190">
        <v>0</v>
      </c>
      <c r="AI82" s="190">
        <v>0</v>
      </c>
      <c r="AJ82" s="190">
        <v>0</v>
      </c>
      <c r="AK82" s="190">
        <v>0</v>
      </c>
      <c r="AL82" s="190">
        <v>0</v>
      </c>
      <c r="AM82" s="190">
        <v>9436.335999999987</v>
      </c>
      <c r="AN82" s="190">
        <v>16345.082000000064</v>
      </c>
      <c r="AO82" s="190">
        <v>7077.25199999999</v>
      </c>
      <c r="AP82" s="190">
        <v>8088.267779279993</v>
      </c>
      <c r="AQ82" s="190">
        <v>1685.05578735</v>
      </c>
      <c r="AR82" s="190">
        <v>0</v>
      </c>
      <c r="AS82" s="189">
        <v>0</v>
      </c>
      <c r="AT82" s="189">
        <v>0</v>
      </c>
      <c r="AU82" s="190">
        <v>0</v>
      </c>
      <c r="AV82" s="190">
        <v>205561.24383717263</v>
      </c>
      <c r="AW82" s="190">
        <v>0</v>
      </c>
      <c r="AX82" s="190">
        <v>0</v>
      </c>
      <c r="AY82" s="190">
        <v>140000</v>
      </c>
      <c r="AZ82" s="191">
        <v>24000</v>
      </c>
      <c r="BA82" s="191">
        <v>844.54</v>
      </c>
      <c r="BB82" s="190">
        <v>0</v>
      </c>
      <c r="BC82" s="190">
        <v>0</v>
      </c>
      <c r="BD82" s="268">
        <v>0</v>
      </c>
      <c r="BE82" s="253">
        <v>4121337.8743061004</v>
      </c>
      <c r="BF82" s="190">
        <v>375735.63992655394</v>
      </c>
      <c r="BG82" s="190">
        <v>164844.54</v>
      </c>
      <c r="BH82" s="190">
        <v>205561.24383717263</v>
      </c>
      <c r="BI82" s="218">
        <f t="shared" si="1"/>
        <v>4661918.054232654</v>
      </c>
      <c r="BJ82" s="190">
        <v>0</v>
      </c>
      <c r="BK82" s="190">
        <v>4661918.054232656</v>
      </c>
      <c r="BL82" s="190">
        <v>4497073.514232654</v>
      </c>
      <c r="BM82" s="190">
        <v>4763.849061687134</v>
      </c>
      <c r="BN82" s="190">
        <v>4742.067673361523</v>
      </c>
      <c r="BO82" s="219">
        <v>0.00459322595667873</v>
      </c>
      <c r="BP82" s="220">
        <v>0</v>
      </c>
      <c r="BQ82" s="268">
        <v>0</v>
      </c>
      <c r="BR82" s="266">
        <v>4661918.054232654</v>
      </c>
      <c r="BS82" s="238">
        <v>0</v>
      </c>
      <c r="BT82" s="254">
        <v>0</v>
      </c>
      <c r="BU82" s="272">
        <v>4661918.054232654</v>
      </c>
      <c r="BV82" s="10"/>
      <c r="BW82" s="228"/>
      <c r="BX82" s="188"/>
      <c r="BY82" s="188"/>
      <c r="BZ82" s="188"/>
      <c r="CA82" s="229">
        <v>151236</v>
      </c>
      <c r="CC82" s="235"/>
      <c r="CD82" s="224"/>
      <c r="CE82" s="224"/>
      <c r="CF82" s="224"/>
      <c r="CG82" s="224"/>
      <c r="CH82" s="224"/>
      <c r="CI82" s="224"/>
      <c r="CJ82" s="229"/>
    </row>
    <row r="83" spans="1:88" ht="15">
      <c r="A83" s="243">
        <v>5400</v>
      </c>
      <c r="B83" s="187" t="s">
        <v>146</v>
      </c>
      <c r="C83" s="189">
        <v>928</v>
      </c>
      <c r="D83" s="189">
        <v>0</v>
      </c>
      <c r="E83" s="189">
        <v>928</v>
      </c>
      <c r="F83" s="189">
        <v>558</v>
      </c>
      <c r="G83" s="189">
        <v>370</v>
      </c>
      <c r="H83" s="189">
        <v>0</v>
      </c>
      <c r="I83" s="189">
        <v>277</v>
      </c>
      <c r="J83" s="189">
        <v>0</v>
      </c>
      <c r="K83" s="189">
        <v>0</v>
      </c>
      <c r="L83" s="189">
        <v>0</v>
      </c>
      <c r="M83" s="189">
        <v>0</v>
      </c>
      <c r="N83" s="189">
        <v>0</v>
      </c>
      <c r="O83" s="189">
        <v>0</v>
      </c>
      <c r="P83" s="189">
        <v>219.99999999999963</v>
      </c>
      <c r="Q83" s="189">
        <v>219.00000000000017</v>
      </c>
      <c r="R83" s="189">
        <v>168.00000000000028</v>
      </c>
      <c r="S83" s="189">
        <v>21.999999999999964</v>
      </c>
      <c r="T83" s="189">
        <v>1.9999999999999967</v>
      </c>
      <c r="U83" s="189">
        <v>0</v>
      </c>
      <c r="V83" s="189">
        <v>0</v>
      </c>
      <c r="W83" s="189">
        <v>19.061621621621583</v>
      </c>
      <c r="X83" s="189">
        <v>0</v>
      </c>
      <c r="Y83" s="189">
        <v>191.04876492654319</v>
      </c>
      <c r="Z83" s="189">
        <v>0</v>
      </c>
      <c r="AA83" s="244">
        <v>0</v>
      </c>
      <c r="AB83" s="253">
        <v>0</v>
      </c>
      <c r="AC83" s="190">
        <v>2305305.7497985126</v>
      </c>
      <c r="AD83" s="190">
        <v>1746979.2020270329</v>
      </c>
      <c r="AE83" s="190">
        <v>0</v>
      </c>
      <c r="AF83" s="190">
        <v>364604.85099999997</v>
      </c>
      <c r="AG83" s="190">
        <v>0</v>
      </c>
      <c r="AH83" s="190">
        <v>0</v>
      </c>
      <c r="AI83" s="190">
        <v>0</v>
      </c>
      <c r="AJ83" s="190">
        <v>0</v>
      </c>
      <c r="AK83" s="190">
        <v>0</v>
      </c>
      <c r="AL83" s="190">
        <v>0</v>
      </c>
      <c r="AM83" s="190">
        <v>18535.659999999967</v>
      </c>
      <c r="AN83" s="190">
        <v>36902.81400000003</v>
      </c>
      <c r="AO83" s="190">
        <v>42463.512000000075</v>
      </c>
      <c r="AP83" s="190">
        <v>7414.245464339988</v>
      </c>
      <c r="AQ83" s="190">
        <v>842.5278936749986</v>
      </c>
      <c r="AR83" s="190">
        <v>0</v>
      </c>
      <c r="AS83" s="189">
        <v>0</v>
      </c>
      <c r="AT83" s="189">
        <v>21227.78430270266</v>
      </c>
      <c r="AU83" s="190">
        <v>0</v>
      </c>
      <c r="AV83" s="190">
        <v>315230.46212879627</v>
      </c>
      <c r="AW83" s="190">
        <v>0</v>
      </c>
      <c r="AX83" s="190">
        <v>0</v>
      </c>
      <c r="AY83" s="190">
        <v>140000</v>
      </c>
      <c r="AZ83" s="191">
        <v>35500</v>
      </c>
      <c r="BA83" s="191">
        <v>923</v>
      </c>
      <c r="BB83" s="190">
        <v>0</v>
      </c>
      <c r="BC83" s="190">
        <v>0</v>
      </c>
      <c r="BD83" s="268">
        <v>0</v>
      </c>
      <c r="BE83" s="253">
        <v>4052284.951825545</v>
      </c>
      <c r="BF83" s="190">
        <v>807221.856789514</v>
      </c>
      <c r="BG83" s="190">
        <v>176423</v>
      </c>
      <c r="BH83" s="190">
        <v>315230.46212879627</v>
      </c>
      <c r="BI83" s="218">
        <f t="shared" si="1"/>
        <v>5035929.808615059</v>
      </c>
      <c r="BJ83" s="190">
        <v>0</v>
      </c>
      <c r="BK83" s="190">
        <v>5035929.80861506</v>
      </c>
      <c r="BL83" s="190">
        <v>4859506.808615059</v>
      </c>
      <c r="BM83" s="190">
        <v>5236.537509283468</v>
      </c>
      <c r="BN83" s="190">
        <v>5196.033256390977</v>
      </c>
      <c r="BO83" s="219">
        <v>0.00779522587594533</v>
      </c>
      <c r="BP83" s="220">
        <v>0</v>
      </c>
      <c r="BQ83" s="268">
        <v>0</v>
      </c>
      <c r="BR83" s="266">
        <v>5035929.808615059</v>
      </c>
      <c r="BS83" s="238">
        <v>0</v>
      </c>
      <c r="BT83" s="254">
        <v>0</v>
      </c>
      <c r="BU83" s="272">
        <v>5035929.808615059</v>
      </c>
      <c r="BV83" s="10"/>
      <c r="BW83" s="228"/>
      <c r="BX83" s="188"/>
      <c r="BY83" s="188"/>
      <c r="BZ83" s="188"/>
      <c r="CA83" s="229">
        <v>191157</v>
      </c>
      <c r="CC83" s="235"/>
      <c r="CD83" s="224"/>
      <c r="CE83" s="224"/>
      <c r="CF83" s="224"/>
      <c r="CG83" s="224"/>
      <c r="CH83" s="224"/>
      <c r="CI83" s="224"/>
      <c r="CJ83" s="229"/>
    </row>
    <row r="84" spans="1:88" ht="15">
      <c r="A84" s="243">
        <v>5401</v>
      </c>
      <c r="B84" s="187" t="s">
        <v>100</v>
      </c>
      <c r="C84" s="189">
        <v>1428</v>
      </c>
      <c r="D84" s="189">
        <v>0</v>
      </c>
      <c r="E84" s="189">
        <v>1428</v>
      </c>
      <c r="F84" s="189">
        <v>827</v>
      </c>
      <c r="G84" s="189">
        <v>601</v>
      </c>
      <c r="H84" s="189">
        <v>0</v>
      </c>
      <c r="I84" s="189">
        <v>277.22346368715085</v>
      </c>
      <c r="J84" s="189">
        <v>0</v>
      </c>
      <c r="K84" s="189">
        <v>0</v>
      </c>
      <c r="L84" s="189">
        <v>0</v>
      </c>
      <c r="M84" s="189">
        <v>0</v>
      </c>
      <c r="N84" s="189">
        <v>0</v>
      </c>
      <c r="O84" s="189">
        <v>0</v>
      </c>
      <c r="P84" s="189">
        <v>151.0000000000007</v>
      </c>
      <c r="Q84" s="189">
        <v>177.0000000000003</v>
      </c>
      <c r="R84" s="189">
        <v>33.000000000000014</v>
      </c>
      <c r="S84" s="189">
        <v>11.999999999999993</v>
      </c>
      <c r="T84" s="189">
        <v>7.999999999999995</v>
      </c>
      <c r="U84" s="189">
        <v>0</v>
      </c>
      <c r="V84" s="189">
        <v>0</v>
      </c>
      <c r="W84" s="189">
        <v>59.08274894810654</v>
      </c>
      <c r="X84" s="189">
        <v>0</v>
      </c>
      <c r="Y84" s="189">
        <v>191.3841079127235</v>
      </c>
      <c r="Z84" s="189">
        <v>0</v>
      </c>
      <c r="AA84" s="244">
        <v>0</v>
      </c>
      <c r="AB84" s="253">
        <v>0</v>
      </c>
      <c r="AC84" s="190">
        <v>3416644.9015831</v>
      </c>
      <c r="AD84" s="190">
        <v>2837660.8119412074</v>
      </c>
      <c r="AE84" s="190">
        <v>0</v>
      </c>
      <c r="AF84" s="190">
        <v>364898.9879832402</v>
      </c>
      <c r="AG84" s="190">
        <v>0</v>
      </c>
      <c r="AH84" s="190">
        <v>0</v>
      </c>
      <c r="AI84" s="190">
        <v>0</v>
      </c>
      <c r="AJ84" s="190">
        <v>0</v>
      </c>
      <c r="AK84" s="190">
        <v>0</v>
      </c>
      <c r="AL84" s="190">
        <v>0</v>
      </c>
      <c r="AM84" s="190">
        <v>12722.20300000006</v>
      </c>
      <c r="AN84" s="190">
        <v>29825.562000000053</v>
      </c>
      <c r="AO84" s="190">
        <v>8341.047000000004</v>
      </c>
      <c r="AP84" s="190">
        <v>4044.1338896399975</v>
      </c>
      <c r="AQ84" s="190">
        <v>3370.1115746999976</v>
      </c>
      <c r="AR84" s="190">
        <v>0</v>
      </c>
      <c r="AS84" s="189">
        <v>0</v>
      </c>
      <c r="AT84" s="189">
        <v>65796.91253856938</v>
      </c>
      <c r="AU84" s="190">
        <v>0</v>
      </c>
      <c r="AV84" s="190">
        <v>315783.7780559938</v>
      </c>
      <c r="AW84" s="190">
        <v>0</v>
      </c>
      <c r="AX84" s="190">
        <v>0</v>
      </c>
      <c r="AY84" s="190">
        <v>140000</v>
      </c>
      <c r="AZ84" s="191">
        <v>33750</v>
      </c>
      <c r="BA84" s="191">
        <v>877.5</v>
      </c>
      <c r="BB84" s="190">
        <v>0</v>
      </c>
      <c r="BC84" s="190">
        <v>0</v>
      </c>
      <c r="BD84" s="268">
        <v>0</v>
      </c>
      <c r="BE84" s="253">
        <v>6254305.713524308</v>
      </c>
      <c r="BF84" s="190">
        <v>804782.7360421434</v>
      </c>
      <c r="BG84" s="190">
        <v>174627.5</v>
      </c>
      <c r="BH84" s="190">
        <v>315783.7780559938</v>
      </c>
      <c r="BI84" s="218">
        <f t="shared" si="1"/>
        <v>7233715.949566452</v>
      </c>
      <c r="BJ84" s="190">
        <v>0</v>
      </c>
      <c r="BK84" s="190">
        <v>7233715.949566451</v>
      </c>
      <c r="BL84" s="190">
        <v>7059088.449566452</v>
      </c>
      <c r="BM84" s="190">
        <v>4943.339250396675</v>
      </c>
      <c r="BN84" s="190">
        <v>4895.206116899441</v>
      </c>
      <c r="BO84" s="219">
        <v>0.009832708234913027</v>
      </c>
      <c r="BP84" s="220">
        <v>0</v>
      </c>
      <c r="BQ84" s="268">
        <v>0</v>
      </c>
      <c r="BR84" s="266">
        <v>7233715.949566452</v>
      </c>
      <c r="BS84" s="238">
        <v>0</v>
      </c>
      <c r="BT84" s="254">
        <v>0</v>
      </c>
      <c r="BU84" s="272">
        <v>7233715.949566452</v>
      </c>
      <c r="BV84" s="10"/>
      <c r="BW84" s="228"/>
      <c r="BX84" s="188"/>
      <c r="BY84" s="188"/>
      <c r="BZ84" s="188"/>
      <c r="CA84" s="229">
        <v>70158</v>
      </c>
      <c r="CC84" s="235"/>
      <c r="CD84" s="224"/>
      <c r="CE84" s="224"/>
      <c r="CF84" s="224"/>
      <c r="CG84" s="224"/>
      <c r="CH84" s="224"/>
      <c r="CI84" s="224"/>
      <c r="CJ84" s="229"/>
    </row>
    <row r="85" spans="1:88" ht="15">
      <c r="A85" s="243">
        <v>5402</v>
      </c>
      <c r="B85" s="187" t="s">
        <v>101</v>
      </c>
      <c r="C85" s="189">
        <v>909</v>
      </c>
      <c r="D85" s="189">
        <v>0</v>
      </c>
      <c r="E85" s="189">
        <v>909</v>
      </c>
      <c r="F85" s="189">
        <v>541</v>
      </c>
      <c r="G85" s="189">
        <v>368</v>
      </c>
      <c r="H85" s="189">
        <v>0</v>
      </c>
      <c r="I85" s="189">
        <v>98.56626506024097</v>
      </c>
      <c r="J85" s="189">
        <v>0</v>
      </c>
      <c r="K85" s="189">
        <v>0</v>
      </c>
      <c r="L85" s="189">
        <v>0</v>
      </c>
      <c r="M85" s="189">
        <v>0</v>
      </c>
      <c r="N85" s="189">
        <v>0</v>
      </c>
      <c r="O85" s="189">
        <v>0</v>
      </c>
      <c r="P85" s="189">
        <v>99.00000000000007</v>
      </c>
      <c r="Q85" s="189">
        <v>27.999999999999996</v>
      </c>
      <c r="R85" s="189">
        <v>11.999999999999998</v>
      </c>
      <c r="S85" s="189">
        <v>1</v>
      </c>
      <c r="T85" s="189">
        <v>2</v>
      </c>
      <c r="U85" s="189">
        <v>0</v>
      </c>
      <c r="V85" s="189">
        <v>0</v>
      </c>
      <c r="W85" s="189">
        <v>18.999999999999996</v>
      </c>
      <c r="X85" s="189">
        <v>0</v>
      </c>
      <c r="Y85" s="189">
        <v>149.32495999956456</v>
      </c>
      <c r="Z85" s="189">
        <v>0</v>
      </c>
      <c r="AA85" s="244">
        <v>0</v>
      </c>
      <c r="AB85" s="253">
        <v>0</v>
      </c>
      <c r="AC85" s="190">
        <v>2235072.420503576</v>
      </c>
      <c r="AD85" s="190">
        <v>1737536.0712052651</v>
      </c>
      <c r="AE85" s="190">
        <v>0</v>
      </c>
      <c r="AF85" s="190">
        <v>129739.12774698794</v>
      </c>
      <c r="AG85" s="190">
        <v>0</v>
      </c>
      <c r="AH85" s="190">
        <v>0</v>
      </c>
      <c r="AI85" s="190">
        <v>0</v>
      </c>
      <c r="AJ85" s="190">
        <v>0</v>
      </c>
      <c r="AK85" s="190">
        <v>0</v>
      </c>
      <c r="AL85" s="190">
        <v>0</v>
      </c>
      <c r="AM85" s="190">
        <v>8341.047000000006</v>
      </c>
      <c r="AN85" s="190">
        <v>4718.168</v>
      </c>
      <c r="AO85" s="190">
        <v>3033.1079999999997</v>
      </c>
      <c r="AP85" s="190">
        <v>337.01115747</v>
      </c>
      <c r="AQ85" s="190">
        <v>842.527893675</v>
      </c>
      <c r="AR85" s="190">
        <v>0</v>
      </c>
      <c r="AS85" s="189">
        <v>0</v>
      </c>
      <c r="AT85" s="189">
        <v>21159.159999999996</v>
      </c>
      <c r="AU85" s="190">
        <v>0</v>
      </c>
      <c r="AV85" s="190">
        <v>246386.18399928152</v>
      </c>
      <c r="AW85" s="190">
        <v>0</v>
      </c>
      <c r="AX85" s="190">
        <v>0</v>
      </c>
      <c r="AY85" s="190">
        <v>140000</v>
      </c>
      <c r="AZ85" s="191">
        <v>29750</v>
      </c>
      <c r="BA85" s="191">
        <v>773.5</v>
      </c>
      <c r="BB85" s="190">
        <v>0</v>
      </c>
      <c r="BC85" s="190">
        <v>0</v>
      </c>
      <c r="BD85" s="268">
        <v>0</v>
      </c>
      <c r="BE85" s="253">
        <v>3972608.491708841</v>
      </c>
      <c r="BF85" s="190">
        <v>414556.33379741444</v>
      </c>
      <c r="BG85" s="190">
        <v>170523.5</v>
      </c>
      <c r="BH85" s="190">
        <v>246386.18399928152</v>
      </c>
      <c r="BI85" s="218">
        <f t="shared" si="1"/>
        <v>4557688.325506256</v>
      </c>
      <c r="BJ85" s="190">
        <v>0</v>
      </c>
      <c r="BK85" s="190">
        <v>4557688.325506256</v>
      </c>
      <c r="BL85" s="190">
        <v>4387164.825506256</v>
      </c>
      <c r="BM85" s="190">
        <v>4826.3639444513265</v>
      </c>
      <c r="BN85" s="190">
        <v>4818.4426430449075</v>
      </c>
      <c r="BO85" s="219">
        <v>0.0016439546951654163</v>
      </c>
      <c r="BP85" s="220">
        <v>0</v>
      </c>
      <c r="BQ85" s="268">
        <v>0</v>
      </c>
      <c r="BR85" s="266">
        <v>4557688.325506256</v>
      </c>
      <c r="BS85" s="238">
        <v>0</v>
      </c>
      <c r="BT85" s="254">
        <v>0</v>
      </c>
      <c r="BU85" s="272">
        <v>4557688.325506256</v>
      </c>
      <c r="BV85" s="10"/>
      <c r="BW85" s="228"/>
      <c r="BX85" s="188"/>
      <c r="BY85" s="188">
        <v>126698</v>
      </c>
      <c r="BZ85" s="188"/>
      <c r="CA85" s="229">
        <v>157573</v>
      </c>
      <c r="CC85" s="235"/>
      <c r="CD85" s="224"/>
      <c r="CE85" s="224"/>
      <c r="CF85" s="224"/>
      <c r="CG85" s="224"/>
      <c r="CH85" s="224"/>
      <c r="CI85" s="224"/>
      <c r="CJ85" s="229"/>
    </row>
    <row r="86" spans="1:88" ht="15">
      <c r="A86" s="243">
        <v>5403</v>
      </c>
      <c r="B86" s="196" t="s">
        <v>48</v>
      </c>
      <c r="C86" s="189">
        <v>1197</v>
      </c>
      <c r="D86" s="189">
        <v>0</v>
      </c>
      <c r="E86" s="189">
        <v>1197</v>
      </c>
      <c r="F86" s="189">
        <v>722</v>
      </c>
      <c r="G86" s="189">
        <v>475</v>
      </c>
      <c r="H86" s="189">
        <v>0</v>
      </c>
      <c r="I86" s="189">
        <v>326.54560669456066</v>
      </c>
      <c r="J86" s="189">
        <v>0</v>
      </c>
      <c r="K86" s="189">
        <v>0</v>
      </c>
      <c r="L86" s="189">
        <v>0</v>
      </c>
      <c r="M86" s="189">
        <v>0</v>
      </c>
      <c r="N86" s="189">
        <v>0</v>
      </c>
      <c r="O86" s="189">
        <v>0</v>
      </c>
      <c r="P86" s="189">
        <v>160.9999999999998</v>
      </c>
      <c r="Q86" s="189">
        <v>182.99999999999946</v>
      </c>
      <c r="R86" s="189">
        <v>97</v>
      </c>
      <c r="S86" s="189">
        <v>8.000000000000005</v>
      </c>
      <c r="T86" s="189">
        <v>91.00000000000001</v>
      </c>
      <c r="U86" s="189">
        <v>0</v>
      </c>
      <c r="V86" s="189">
        <v>0</v>
      </c>
      <c r="W86" s="189">
        <v>24.141176470588288</v>
      </c>
      <c r="X86" s="189">
        <v>0</v>
      </c>
      <c r="Y86" s="189">
        <v>244.08038320878214</v>
      </c>
      <c r="Z86" s="189">
        <v>0</v>
      </c>
      <c r="AA86" s="244">
        <v>0</v>
      </c>
      <c r="AB86" s="253">
        <v>0</v>
      </c>
      <c r="AC86" s="190">
        <v>2982850.808879079</v>
      </c>
      <c r="AD86" s="190">
        <v>2242743.5701698395</v>
      </c>
      <c r="AE86" s="190">
        <v>0</v>
      </c>
      <c r="AF86" s="190">
        <v>429819.8999046025</v>
      </c>
      <c r="AG86" s="190">
        <v>0</v>
      </c>
      <c r="AH86" s="190">
        <v>0</v>
      </c>
      <c r="AI86" s="190">
        <v>0</v>
      </c>
      <c r="AJ86" s="190">
        <v>0</v>
      </c>
      <c r="AK86" s="190">
        <v>0</v>
      </c>
      <c r="AL86" s="190">
        <v>0</v>
      </c>
      <c r="AM86" s="190">
        <v>13564.732999999984</v>
      </c>
      <c r="AN86" s="190">
        <v>30836.59799999991</v>
      </c>
      <c r="AO86" s="190">
        <v>24517.623</v>
      </c>
      <c r="AP86" s="190">
        <v>2696.089259760002</v>
      </c>
      <c r="AQ86" s="190">
        <v>38335.019162212506</v>
      </c>
      <c r="AR86" s="190">
        <v>0</v>
      </c>
      <c r="AS86" s="189">
        <v>0</v>
      </c>
      <c r="AT86" s="189">
        <v>26884.579764705944</v>
      </c>
      <c r="AU86" s="190">
        <v>0</v>
      </c>
      <c r="AV86" s="190">
        <v>402732.6322944905</v>
      </c>
      <c r="AW86" s="190">
        <v>0</v>
      </c>
      <c r="AX86" s="190">
        <v>0</v>
      </c>
      <c r="AY86" s="190">
        <v>140000</v>
      </c>
      <c r="AZ86" s="191">
        <v>36750</v>
      </c>
      <c r="BA86" s="191">
        <v>955.5</v>
      </c>
      <c r="BB86" s="190">
        <v>0</v>
      </c>
      <c r="BC86" s="190">
        <v>0</v>
      </c>
      <c r="BD86" s="268">
        <v>0</v>
      </c>
      <c r="BE86" s="253">
        <v>5225594.379048918</v>
      </c>
      <c r="BF86" s="190">
        <v>969387.1743857714</v>
      </c>
      <c r="BG86" s="190">
        <v>177705.5</v>
      </c>
      <c r="BH86" s="190">
        <v>402732.6322944905</v>
      </c>
      <c r="BI86" s="218">
        <f t="shared" si="1"/>
        <v>6372687.0534346895</v>
      </c>
      <c r="BJ86" s="190">
        <v>0</v>
      </c>
      <c r="BK86" s="190">
        <v>6372687.05343469</v>
      </c>
      <c r="BL86" s="190">
        <v>6194981.5534346895</v>
      </c>
      <c r="BM86" s="190">
        <v>5175.423185826809</v>
      </c>
      <c r="BN86" s="190">
        <v>5213.175376066946</v>
      </c>
      <c r="BO86" s="219">
        <v>-0.007241688129935814</v>
      </c>
      <c r="BP86" s="220">
        <v>0</v>
      </c>
      <c r="BQ86" s="268">
        <v>0</v>
      </c>
      <c r="BR86" s="266">
        <v>6372687.0534346895</v>
      </c>
      <c r="BS86" s="238">
        <v>0</v>
      </c>
      <c r="BT86" s="254">
        <v>0</v>
      </c>
      <c r="BU86" s="272">
        <v>6372687.0534346895</v>
      </c>
      <c r="BV86" s="10"/>
      <c r="BW86" s="228"/>
      <c r="BX86" s="188"/>
      <c r="BY86" s="188"/>
      <c r="BZ86" s="188"/>
      <c r="CA86" s="229">
        <v>63800</v>
      </c>
      <c r="CC86" s="235"/>
      <c r="CD86" s="224"/>
      <c r="CE86" s="224"/>
      <c r="CF86" s="224"/>
      <c r="CG86" s="224"/>
      <c r="CH86" s="224"/>
      <c r="CI86" s="224"/>
      <c r="CJ86" s="229"/>
    </row>
    <row r="87" spans="1:88" ht="15">
      <c r="A87" s="243">
        <v>5404</v>
      </c>
      <c r="B87" s="187" t="s">
        <v>49</v>
      </c>
      <c r="C87" s="189">
        <v>1065</v>
      </c>
      <c r="D87" s="189">
        <v>0</v>
      </c>
      <c r="E87" s="189">
        <v>1065</v>
      </c>
      <c r="F87" s="189">
        <v>669</v>
      </c>
      <c r="G87" s="189">
        <v>396</v>
      </c>
      <c r="H87" s="189">
        <v>0</v>
      </c>
      <c r="I87" s="189">
        <v>466.3791469194313</v>
      </c>
      <c r="J87" s="189">
        <v>0</v>
      </c>
      <c r="K87" s="189">
        <v>0</v>
      </c>
      <c r="L87" s="189">
        <v>0</v>
      </c>
      <c r="M87" s="189">
        <v>0</v>
      </c>
      <c r="N87" s="189">
        <v>0</v>
      </c>
      <c r="O87" s="189">
        <v>0</v>
      </c>
      <c r="P87" s="189">
        <v>208.1954887218042</v>
      </c>
      <c r="Q87" s="189">
        <v>316.2969924812035</v>
      </c>
      <c r="R87" s="189">
        <v>210.19736842105308</v>
      </c>
      <c r="S87" s="189">
        <v>105.09868421052633</v>
      </c>
      <c r="T87" s="189">
        <v>23.021616541353428</v>
      </c>
      <c r="U87" s="189">
        <v>1.0009398496240598</v>
      </c>
      <c r="V87" s="189">
        <v>0</v>
      </c>
      <c r="W87" s="189">
        <v>47.1057692307692</v>
      </c>
      <c r="X87" s="189">
        <v>0</v>
      </c>
      <c r="Y87" s="189">
        <v>250.86291654689947</v>
      </c>
      <c r="Z87" s="189">
        <v>0</v>
      </c>
      <c r="AA87" s="244">
        <v>0</v>
      </c>
      <c r="AB87" s="253">
        <v>0</v>
      </c>
      <c r="AC87" s="190">
        <v>2763888.076371335</v>
      </c>
      <c r="AD87" s="190">
        <v>1869739.9027100136</v>
      </c>
      <c r="AE87" s="190">
        <v>0</v>
      </c>
      <c r="AF87" s="190">
        <v>613877.6150616114</v>
      </c>
      <c r="AG87" s="190">
        <v>0</v>
      </c>
      <c r="AH87" s="190">
        <v>0</v>
      </c>
      <c r="AI87" s="190">
        <v>0</v>
      </c>
      <c r="AJ87" s="190">
        <v>0</v>
      </c>
      <c r="AK87" s="190">
        <v>0</v>
      </c>
      <c r="AL87" s="190">
        <v>0</v>
      </c>
      <c r="AM87" s="190">
        <v>17541.09451127817</v>
      </c>
      <c r="AN87" s="190">
        <v>53297.94101503768</v>
      </c>
      <c r="AO87" s="190">
        <v>53129.27664473696</v>
      </c>
      <c r="AP87" s="190">
        <v>35419.42921436349</v>
      </c>
      <c r="AQ87" s="190">
        <v>9698.17704679002</v>
      </c>
      <c r="AR87" s="190">
        <v>505.9918459194782</v>
      </c>
      <c r="AS87" s="189">
        <v>0</v>
      </c>
      <c r="AT87" s="189">
        <v>52458.86884615381</v>
      </c>
      <c r="AU87" s="190">
        <v>0</v>
      </c>
      <c r="AV87" s="190">
        <v>413923.8123023841</v>
      </c>
      <c r="AW87" s="190">
        <v>0</v>
      </c>
      <c r="AX87" s="190">
        <v>0</v>
      </c>
      <c r="AY87" s="190">
        <v>140000</v>
      </c>
      <c r="AZ87" s="191">
        <v>38750</v>
      </c>
      <c r="BA87" s="191">
        <v>1489.57</v>
      </c>
      <c r="BB87" s="190">
        <v>0</v>
      </c>
      <c r="BC87" s="190">
        <v>0</v>
      </c>
      <c r="BD87" s="268">
        <v>0</v>
      </c>
      <c r="BE87" s="253">
        <v>4633627.9790813485</v>
      </c>
      <c r="BF87" s="190">
        <v>1249852.2064882752</v>
      </c>
      <c r="BG87" s="190">
        <v>180239.57</v>
      </c>
      <c r="BH87" s="190">
        <v>413923.8123023841</v>
      </c>
      <c r="BI87" s="218">
        <f t="shared" si="1"/>
        <v>6063719.755569624</v>
      </c>
      <c r="BJ87" s="190">
        <v>0</v>
      </c>
      <c r="BK87" s="190">
        <v>6063719.755569625</v>
      </c>
      <c r="BL87" s="190">
        <v>5883480.1855696235</v>
      </c>
      <c r="BM87" s="190">
        <v>5524.3945404409615</v>
      </c>
      <c r="BN87" s="190">
        <v>5503.731406736242</v>
      </c>
      <c r="BO87" s="219">
        <v>0.0037543862840815237</v>
      </c>
      <c r="BP87" s="220">
        <v>0</v>
      </c>
      <c r="BQ87" s="268">
        <v>0</v>
      </c>
      <c r="BR87" s="266">
        <v>6063719.755569624</v>
      </c>
      <c r="BS87" s="238">
        <v>0</v>
      </c>
      <c r="BT87" s="254">
        <v>0</v>
      </c>
      <c r="BU87" s="272">
        <v>6063719.755569624</v>
      </c>
      <c r="BV87" s="10"/>
      <c r="BW87" s="228"/>
      <c r="BX87" s="188"/>
      <c r="BY87" s="188"/>
      <c r="BZ87" s="188"/>
      <c r="CA87" s="229">
        <v>98141</v>
      </c>
      <c r="CC87" s="235"/>
      <c r="CD87" s="224"/>
      <c r="CE87" s="224"/>
      <c r="CF87" s="224"/>
      <c r="CG87" s="224"/>
      <c r="CH87" s="224"/>
      <c r="CI87" s="224"/>
      <c r="CJ87" s="229"/>
    </row>
    <row r="88" spans="1:88" ht="15">
      <c r="A88" s="243">
        <v>5405</v>
      </c>
      <c r="B88" s="187" t="s">
        <v>102</v>
      </c>
      <c r="C88" s="189">
        <v>761</v>
      </c>
      <c r="D88" s="189">
        <v>0</v>
      </c>
      <c r="E88" s="189">
        <v>761</v>
      </c>
      <c r="F88" s="189">
        <v>528</v>
      </c>
      <c r="G88" s="189">
        <v>233</v>
      </c>
      <c r="H88" s="189">
        <v>0</v>
      </c>
      <c r="I88" s="189">
        <v>216.12855007473843</v>
      </c>
      <c r="J88" s="189">
        <v>0</v>
      </c>
      <c r="K88" s="189">
        <v>0</v>
      </c>
      <c r="L88" s="189">
        <v>0</v>
      </c>
      <c r="M88" s="189">
        <v>0</v>
      </c>
      <c r="N88" s="189">
        <v>0</v>
      </c>
      <c r="O88" s="189">
        <v>0</v>
      </c>
      <c r="P88" s="189">
        <v>137.00000000000028</v>
      </c>
      <c r="Q88" s="189">
        <v>135.99999999999997</v>
      </c>
      <c r="R88" s="189">
        <v>11.000000000000023</v>
      </c>
      <c r="S88" s="189">
        <v>15.000000000000016</v>
      </c>
      <c r="T88" s="189">
        <v>3.000000000000003</v>
      </c>
      <c r="U88" s="189">
        <v>1.9999999999999971</v>
      </c>
      <c r="V88" s="189">
        <v>0</v>
      </c>
      <c r="W88" s="189">
        <v>38.00000000000002</v>
      </c>
      <c r="X88" s="189">
        <v>0</v>
      </c>
      <c r="Y88" s="189">
        <v>195.18634758575163</v>
      </c>
      <c r="Z88" s="189">
        <v>0</v>
      </c>
      <c r="AA88" s="244">
        <v>0</v>
      </c>
      <c r="AB88" s="253">
        <v>0</v>
      </c>
      <c r="AC88" s="190">
        <v>2181364.5804545064</v>
      </c>
      <c r="AD88" s="190">
        <v>1100124.7407359423</v>
      </c>
      <c r="AE88" s="190">
        <v>0</v>
      </c>
      <c r="AF88" s="190">
        <v>284482.0137070254</v>
      </c>
      <c r="AG88" s="190">
        <v>0</v>
      </c>
      <c r="AH88" s="190">
        <v>0</v>
      </c>
      <c r="AI88" s="190">
        <v>0</v>
      </c>
      <c r="AJ88" s="190">
        <v>0</v>
      </c>
      <c r="AK88" s="190">
        <v>0</v>
      </c>
      <c r="AL88" s="190">
        <v>0</v>
      </c>
      <c r="AM88" s="190">
        <v>11542.661000000024</v>
      </c>
      <c r="AN88" s="190">
        <v>22916.815999999995</v>
      </c>
      <c r="AO88" s="190">
        <v>2780.349000000006</v>
      </c>
      <c r="AP88" s="190">
        <v>5055.167362050005</v>
      </c>
      <c r="AQ88" s="190">
        <v>1263.7918405125013</v>
      </c>
      <c r="AR88" s="190">
        <v>1011.0334724099985</v>
      </c>
      <c r="AS88" s="189">
        <v>0</v>
      </c>
      <c r="AT88" s="189">
        <v>42318.32000000003</v>
      </c>
      <c r="AU88" s="190">
        <v>0</v>
      </c>
      <c r="AV88" s="190">
        <v>322057.4735164902</v>
      </c>
      <c r="AW88" s="190">
        <v>0</v>
      </c>
      <c r="AX88" s="190">
        <v>0</v>
      </c>
      <c r="AY88" s="190">
        <v>140000</v>
      </c>
      <c r="AZ88" s="191">
        <v>48500</v>
      </c>
      <c r="BA88" s="191">
        <v>-11168.33</v>
      </c>
      <c r="BB88" s="190">
        <v>0</v>
      </c>
      <c r="BC88" s="190">
        <v>0</v>
      </c>
      <c r="BD88" s="268">
        <v>0</v>
      </c>
      <c r="BE88" s="253">
        <v>3281489.3211904485</v>
      </c>
      <c r="BF88" s="190">
        <v>693427.6258984881</v>
      </c>
      <c r="BG88" s="190">
        <v>177331.67</v>
      </c>
      <c r="BH88" s="190">
        <v>322057.4735164902</v>
      </c>
      <c r="BI88" s="218">
        <f t="shared" si="1"/>
        <v>4152248.6170889363</v>
      </c>
      <c r="BJ88" s="190">
        <v>0</v>
      </c>
      <c r="BK88" s="190">
        <v>4152248.6170889363</v>
      </c>
      <c r="BL88" s="190">
        <v>3974916.9470889363</v>
      </c>
      <c r="BM88" s="190">
        <v>5223.281139407275</v>
      </c>
      <c r="BN88" s="190">
        <v>5865.892940029762</v>
      </c>
      <c r="BO88" s="219">
        <v>-0.10955055047752482</v>
      </c>
      <c r="BP88" s="220">
        <v>0.09455055047752482</v>
      </c>
      <c r="BQ88" s="268">
        <v>422068.4123632728</v>
      </c>
      <c r="BR88" s="266">
        <v>4574317.029452209</v>
      </c>
      <c r="BS88" s="238">
        <v>0</v>
      </c>
      <c r="BT88" s="254">
        <v>0</v>
      </c>
      <c r="BU88" s="272">
        <v>4574317.029452209</v>
      </c>
      <c r="BV88" s="10"/>
      <c r="BW88" s="228"/>
      <c r="BX88" s="188"/>
      <c r="BY88" s="188">
        <v>63349</v>
      </c>
      <c r="BZ88" s="188">
        <v>45114</v>
      </c>
      <c r="CA88" s="229">
        <v>46574</v>
      </c>
      <c r="CC88" s="235"/>
      <c r="CD88" s="224"/>
      <c r="CE88" s="224"/>
      <c r="CF88" s="224"/>
      <c r="CG88" s="224"/>
      <c r="CH88" s="224"/>
      <c r="CI88" s="224"/>
      <c r="CJ88" s="229"/>
    </row>
    <row r="89" spans="1:88" ht="15">
      <c r="A89" s="243">
        <v>5406</v>
      </c>
      <c r="B89" s="196" t="s">
        <v>50</v>
      </c>
      <c r="C89" s="189">
        <v>684</v>
      </c>
      <c r="D89" s="189">
        <v>0</v>
      </c>
      <c r="E89" s="189">
        <v>684</v>
      </c>
      <c r="F89" s="189">
        <v>473</v>
      </c>
      <c r="G89" s="189">
        <v>211</v>
      </c>
      <c r="H89" s="189">
        <v>0</v>
      </c>
      <c r="I89" s="189">
        <v>290.7826086956522</v>
      </c>
      <c r="J89" s="189">
        <v>0</v>
      </c>
      <c r="K89" s="189">
        <v>0</v>
      </c>
      <c r="L89" s="189">
        <v>0</v>
      </c>
      <c r="M89" s="189">
        <v>0</v>
      </c>
      <c r="N89" s="189">
        <v>0</v>
      </c>
      <c r="O89" s="189">
        <v>0</v>
      </c>
      <c r="P89" s="189">
        <v>164.4809384164225</v>
      </c>
      <c r="Q89" s="189">
        <v>174.51026392961865</v>
      </c>
      <c r="R89" s="189">
        <v>215.63049853372425</v>
      </c>
      <c r="S89" s="189">
        <v>36.105571847507335</v>
      </c>
      <c r="T89" s="189">
        <v>9.026392961876818</v>
      </c>
      <c r="U89" s="189">
        <v>0</v>
      </c>
      <c r="V89" s="189">
        <v>0</v>
      </c>
      <c r="W89" s="189">
        <v>52.152492668621676</v>
      </c>
      <c r="X89" s="189">
        <v>0</v>
      </c>
      <c r="Y89" s="189">
        <v>177.18345235254816</v>
      </c>
      <c r="Z89" s="189">
        <v>0</v>
      </c>
      <c r="AA89" s="244">
        <v>0</v>
      </c>
      <c r="AB89" s="253">
        <v>0</v>
      </c>
      <c r="AC89" s="190">
        <v>1954139.1033238287</v>
      </c>
      <c r="AD89" s="190">
        <v>996250.3016964971</v>
      </c>
      <c r="AE89" s="190">
        <v>0</v>
      </c>
      <c r="AF89" s="190">
        <v>382746.3888695652</v>
      </c>
      <c r="AG89" s="190">
        <v>0</v>
      </c>
      <c r="AH89" s="190">
        <v>0</v>
      </c>
      <c r="AI89" s="190">
        <v>0</v>
      </c>
      <c r="AJ89" s="190">
        <v>0</v>
      </c>
      <c r="AK89" s="190">
        <v>0</v>
      </c>
      <c r="AL89" s="190">
        <v>0</v>
      </c>
      <c r="AM89" s="190">
        <v>13858.012504398845</v>
      </c>
      <c r="AN89" s="190">
        <v>29406.026533724318</v>
      </c>
      <c r="AO89" s="190">
        <v>54502.54917888561</v>
      </c>
      <c r="AP89" s="190">
        <v>12167.980559444693</v>
      </c>
      <c r="AQ89" s="190">
        <v>3802.49392482646</v>
      </c>
      <c r="AR89" s="190">
        <v>0</v>
      </c>
      <c r="AS89" s="189">
        <v>0</v>
      </c>
      <c r="AT89" s="189">
        <v>58079.10193548385</v>
      </c>
      <c r="AU89" s="190">
        <v>0</v>
      </c>
      <c r="AV89" s="190">
        <v>292352.6963817045</v>
      </c>
      <c r="AW89" s="190">
        <v>0</v>
      </c>
      <c r="AX89" s="190">
        <v>0</v>
      </c>
      <c r="AY89" s="190">
        <v>140000</v>
      </c>
      <c r="AZ89" s="191">
        <v>28000</v>
      </c>
      <c r="BA89" s="191">
        <v>8040.99</v>
      </c>
      <c r="BB89" s="190">
        <v>0</v>
      </c>
      <c r="BC89" s="190">
        <v>0</v>
      </c>
      <c r="BD89" s="268">
        <v>0</v>
      </c>
      <c r="BE89" s="253">
        <v>2950389.405020326</v>
      </c>
      <c r="BF89" s="190">
        <v>846915.2498880334</v>
      </c>
      <c r="BG89" s="190">
        <v>176040.99</v>
      </c>
      <c r="BH89" s="190">
        <v>292352.6963817045</v>
      </c>
      <c r="BI89" s="218">
        <f t="shared" si="1"/>
        <v>3973345.6449083593</v>
      </c>
      <c r="BJ89" s="190">
        <v>0</v>
      </c>
      <c r="BK89" s="190">
        <v>3973345.6449083593</v>
      </c>
      <c r="BL89" s="190">
        <v>3797304.654908359</v>
      </c>
      <c r="BM89" s="190">
        <v>5551.61499255608</v>
      </c>
      <c r="BN89" s="190">
        <v>6350.49276514658</v>
      </c>
      <c r="BO89" s="219">
        <v>-0.12579776123436934</v>
      </c>
      <c r="BP89" s="220">
        <v>0.11079776123436934</v>
      </c>
      <c r="BQ89" s="268">
        <v>481276.3406814976</v>
      </c>
      <c r="BR89" s="266">
        <v>4454621.985589857</v>
      </c>
      <c r="BS89" s="238">
        <v>0</v>
      </c>
      <c r="BT89" s="254">
        <v>0</v>
      </c>
      <c r="BU89" s="272">
        <v>4454621.985589857</v>
      </c>
      <c r="BV89" s="10"/>
      <c r="BW89" s="228"/>
      <c r="BX89" s="188"/>
      <c r="BY89" s="188"/>
      <c r="BZ89" s="188"/>
      <c r="CA89" s="229">
        <v>93116</v>
      </c>
      <c r="CC89" s="235"/>
      <c r="CD89" s="224"/>
      <c r="CE89" s="224"/>
      <c r="CF89" s="224"/>
      <c r="CG89" s="224"/>
      <c r="CH89" s="224"/>
      <c r="CI89" s="224"/>
      <c r="CJ89" s="229"/>
    </row>
    <row r="90" spans="1:88" ht="15">
      <c r="A90" s="243">
        <v>5407</v>
      </c>
      <c r="B90" s="187" t="s">
        <v>51</v>
      </c>
      <c r="C90" s="189">
        <v>336</v>
      </c>
      <c r="D90" s="189">
        <v>0</v>
      </c>
      <c r="E90" s="189">
        <v>336</v>
      </c>
      <c r="F90" s="189">
        <v>242</v>
      </c>
      <c r="G90" s="189">
        <v>94</v>
      </c>
      <c r="H90" s="189">
        <v>0</v>
      </c>
      <c r="I90" s="189">
        <v>145</v>
      </c>
      <c r="J90" s="189">
        <v>0</v>
      </c>
      <c r="K90" s="189">
        <v>0</v>
      </c>
      <c r="L90" s="189">
        <v>0</v>
      </c>
      <c r="M90" s="189">
        <v>0</v>
      </c>
      <c r="N90" s="189">
        <v>0</v>
      </c>
      <c r="O90" s="189">
        <v>0</v>
      </c>
      <c r="P90" s="189">
        <v>73.99999999999993</v>
      </c>
      <c r="Q90" s="189">
        <v>96.00000000000009</v>
      </c>
      <c r="R90" s="189">
        <v>75.0000000000001</v>
      </c>
      <c r="S90" s="189">
        <v>19.999999999999993</v>
      </c>
      <c r="T90" s="189">
        <v>6.000000000000015</v>
      </c>
      <c r="U90" s="189">
        <v>0</v>
      </c>
      <c r="V90" s="189">
        <v>0</v>
      </c>
      <c r="W90" s="189">
        <v>60.00000000000014</v>
      </c>
      <c r="X90" s="189">
        <v>0</v>
      </c>
      <c r="Y90" s="189">
        <v>108.37889193453627</v>
      </c>
      <c r="Z90" s="189">
        <v>0</v>
      </c>
      <c r="AA90" s="244">
        <v>21.399999999999935</v>
      </c>
      <c r="AB90" s="253">
        <v>0</v>
      </c>
      <c r="AC90" s="190">
        <v>999792.0993749821</v>
      </c>
      <c r="AD90" s="190">
        <v>443827.148623084</v>
      </c>
      <c r="AE90" s="190">
        <v>0</v>
      </c>
      <c r="AF90" s="190">
        <v>190858.13499999998</v>
      </c>
      <c r="AG90" s="190">
        <v>0</v>
      </c>
      <c r="AH90" s="190">
        <v>0</v>
      </c>
      <c r="AI90" s="190">
        <v>0</v>
      </c>
      <c r="AJ90" s="190">
        <v>0</v>
      </c>
      <c r="AK90" s="190">
        <v>0</v>
      </c>
      <c r="AL90" s="190">
        <v>0</v>
      </c>
      <c r="AM90" s="190">
        <v>6234.721999999994</v>
      </c>
      <c r="AN90" s="190">
        <v>16176.576000000014</v>
      </c>
      <c r="AO90" s="190">
        <v>18956.925000000025</v>
      </c>
      <c r="AP90" s="190">
        <v>6740.223149399998</v>
      </c>
      <c r="AQ90" s="190">
        <v>2527.583681025006</v>
      </c>
      <c r="AR90" s="190">
        <v>0</v>
      </c>
      <c r="AS90" s="189">
        <v>0</v>
      </c>
      <c r="AT90" s="189">
        <v>66818.40000000017</v>
      </c>
      <c r="AU90" s="190">
        <v>0</v>
      </c>
      <c r="AV90" s="190">
        <v>178825.17169198484</v>
      </c>
      <c r="AW90" s="190">
        <v>0</v>
      </c>
      <c r="AX90" s="190">
        <v>25679.99999999992</v>
      </c>
      <c r="AY90" s="190">
        <v>140000</v>
      </c>
      <c r="AZ90" s="191">
        <v>14900</v>
      </c>
      <c r="BA90" s="191">
        <v>17019.91</v>
      </c>
      <c r="BB90" s="190">
        <v>0</v>
      </c>
      <c r="BC90" s="190">
        <v>0</v>
      </c>
      <c r="BD90" s="268">
        <v>0</v>
      </c>
      <c r="BE90" s="253">
        <v>1443619.247998066</v>
      </c>
      <c r="BF90" s="190">
        <v>512817.73652241</v>
      </c>
      <c r="BG90" s="190">
        <v>171919.91</v>
      </c>
      <c r="BH90" s="190">
        <v>178825.17169198484</v>
      </c>
      <c r="BI90" s="218">
        <f t="shared" si="1"/>
        <v>2128356.894520476</v>
      </c>
      <c r="BJ90" s="190">
        <v>0</v>
      </c>
      <c r="BK90" s="190">
        <v>2128356.8945204765</v>
      </c>
      <c r="BL90" s="190">
        <v>1956436.984520476</v>
      </c>
      <c r="BM90" s="190">
        <v>5822.729120596655</v>
      </c>
      <c r="BN90" s="190">
        <v>5823.357293313952</v>
      </c>
      <c r="BO90" s="219">
        <v>-0.00010787123057321372</v>
      </c>
      <c r="BP90" s="220">
        <v>0</v>
      </c>
      <c r="BQ90" s="268">
        <v>0</v>
      </c>
      <c r="BR90" s="266">
        <v>2128356.894520476</v>
      </c>
      <c r="BS90" s="238">
        <v>0</v>
      </c>
      <c r="BT90" s="254">
        <v>0</v>
      </c>
      <c r="BU90" s="272">
        <v>2128356.894520476</v>
      </c>
      <c r="BV90" s="10"/>
      <c r="BW90" s="228"/>
      <c r="BX90" s="188"/>
      <c r="BY90" s="188"/>
      <c r="BZ90" s="188"/>
      <c r="CA90" s="229">
        <v>40058</v>
      </c>
      <c r="CC90" s="235"/>
      <c r="CD90" s="224"/>
      <c r="CE90" s="224"/>
      <c r="CF90" s="224"/>
      <c r="CG90" s="224"/>
      <c r="CH90" s="224"/>
      <c r="CI90" s="224"/>
      <c r="CJ90" s="229"/>
    </row>
    <row r="91" spans="1:88" ht="15">
      <c r="A91" s="243">
        <v>5408</v>
      </c>
      <c r="B91" s="187" t="s">
        <v>52</v>
      </c>
      <c r="C91" s="189">
        <v>1182</v>
      </c>
      <c r="D91" s="189">
        <v>0</v>
      </c>
      <c r="E91" s="189">
        <v>1182</v>
      </c>
      <c r="F91" s="189">
        <v>747</v>
      </c>
      <c r="G91" s="189">
        <v>435</v>
      </c>
      <c r="H91" s="189">
        <v>0</v>
      </c>
      <c r="I91" s="189">
        <v>314.30688753269396</v>
      </c>
      <c r="J91" s="189">
        <v>0</v>
      </c>
      <c r="K91" s="189">
        <v>0</v>
      </c>
      <c r="L91" s="189">
        <v>0</v>
      </c>
      <c r="M91" s="189">
        <v>0</v>
      </c>
      <c r="N91" s="189">
        <v>0</v>
      </c>
      <c r="O91" s="189">
        <v>0</v>
      </c>
      <c r="P91" s="189">
        <v>244.99999999999974</v>
      </c>
      <c r="Q91" s="189">
        <v>259.99999999999943</v>
      </c>
      <c r="R91" s="189">
        <v>187.99999999999986</v>
      </c>
      <c r="S91" s="189">
        <v>106.00000000000006</v>
      </c>
      <c r="T91" s="189">
        <v>32.99999999999997</v>
      </c>
      <c r="U91" s="189">
        <v>1.0000000000000004</v>
      </c>
      <c r="V91" s="189">
        <v>0</v>
      </c>
      <c r="W91" s="189">
        <v>40</v>
      </c>
      <c r="X91" s="189">
        <v>0</v>
      </c>
      <c r="Y91" s="189">
        <v>212.5533608808943</v>
      </c>
      <c r="Z91" s="189">
        <v>0</v>
      </c>
      <c r="AA91" s="244">
        <v>0</v>
      </c>
      <c r="AB91" s="253">
        <v>0</v>
      </c>
      <c r="AC91" s="190">
        <v>3086135.1166657507</v>
      </c>
      <c r="AD91" s="190">
        <v>2053880.9537344845</v>
      </c>
      <c r="AE91" s="190">
        <v>0</v>
      </c>
      <c r="AF91" s="190">
        <v>413710.52670444635</v>
      </c>
      <c r="AG91" s="190">
        <v>0</v>
      </c>
      <c r="AH91" s="190">
        <v>0</v>
      </c>
      <c r="AI91" s="190">
        <v>0</v>
      </c>
      <c r="AJ91" s="190">
        <v>0</v>
      </c>
      <c r="AK91" s="190">
        <v>0</v>
      </c>
      <c r="AL91" s="190">
        <v>0</v>
      </c>
      <c r="AM91" s="190">
        <v>20641.98499999998</v>
      </c>
      <c r="AN91" s="190">
        <v>43811.5599999999</v>
      </c>
      <c r="AO91" s="190">
        <v>47518.691999999966</v>
      </c>
      <c r="AP91" s="190">
        <v>35723.18269182002</v>
      </c>
      <c r="AQ91" s="190">
        <v>13901.710245637487</v>
      </c>
      <c r="AR91" s="190">
        <v>505.5167362050002</v>
      </c>
      <c r="AS91" s="189">
        <v>0</v>
      </c>
      <c r="AT91" s="189">
        <v>44545.600000000006</v>
      </c>
      <c r="AU91" s="190">
        <v>0</v>
      </c>
      <c r="AV91" s="190">
        <v>350713.0454534756</v>
      </c>
      <c r="AW91" s="190">
        <v>0</v>
      </c>
      <c r="AX91" s="190">
        <v>0</v>
      </c>
      <c r="AY91" s="190">
        <v>140000</v>
      </c>
      <c r="AZ91" s="191">
        <v>29800</v>
      </c>
      <c r="BA91" s="191">
        <v>1676.73</v>
      </c>
      <c r="BB91" s="190">
        <v>100000</v>
      </c>
      <c r="BC91" s="190">
        <v>0</v>
      </c>
      <c r="BD91" s="268">
        <v>0</v>
      </c>
      <c r="BE91" s="253">
        <v>5140016.070400235</v>
      </c>
      <c r="BF91" s="190">
        <v>971071.8188315842</v>
      </c>
      <c r="BG91" s="190">
        <v>271476.73</v>
      </c>
      <c r="BH91" s="190">
        <v>350713.0454534756</v>
      </c>
      <c r="BI91" s="218">
        <f t="shared" si="1"/>
        <v>6382564.61923182</v>
      </c>
      <c r="BJ91" s="190">
        <v>0</v>
      </c>
      <c r="BK91" s="190">
        <v>6382564.619231818</v>
      </c>
      <c r="BL91" s="190">
        <v>6211087.88923182</v>
      </c>
      <c r="BM91" s="190">
        <v>5254.727486659746</v>
      </c>
      <c r="BN91" s="190">
        <v>5214.711110443864</v>
      </c>
      <c r="BO91" s="219">
        <v>0.007673747474858028</v>
      </c>
      <c r="BP91" s="220">
        <v>0</v>
      </c>
      <c r="BQ91" s="268">
        <v>0</v>
      </c>
      <c r="BR91" s="266">
        <v>6382564.61923182</v>
      </c>
      <c r="BS91" s="238">
        <v>0</v>
      </c>
      <c r="BT91" s="254">
        <v>0</v>
      </c>
      <c r="BU91" s="272">
        <v>6382564.61923182</v>
      </c>
      <c r="BV91" s="10"/>
      <c r="BW91" s="228"/>
      <c r="BX91" s="188"/>
      <c r="BY91" s="188"/>
      <c r="BZ91" s="188"/>
      <c r="CA91" s="229">
        <v>61458</v>
      </c>
      <c r="CC91" s="235"/>
      <c r="CD91" s="224"/>
      <c r="CE91" s="224"/>
      <c r="CF91" s="224"/>
      <c r="CG91" s="224"/>
      <c r="CH91" s="224"/>
      <c r="CI91" s="224"/>
      <c r="CJ91" s="229"/>
    </row>
    <row r="92" spans="1:88" ht="15">
      <c r="A92" s="243">
        <v>5410</v>
      </c>
      <c r="B92" s="196" t="s">
        <v>200</v>
      </c>
      <c r="C92" s="189">
        <v>943</v>
      </c>
      <c r="D92" s="189">
        <v>0</v>
      </c>
      <c r="E92" s="189">
        <v>943</v>
      </c>
      <c r="F92" s="189">
        <v>599</v>
      </c>
      <c r="G92" s="189">
        <v>344</v>
      </c>
      <c r="H92" s="189">
        <v>0</v>
      </c>
      <c r="I92" s="189">
        <v>311.1149032992036</v>
      </c>
      <c r="J92" s="189">
        <v>0</v>
      </c>
      <c r="K92" s="189">
        <v>0</v>
      </c>
      <c r="L92" s="189">
        <v>0</v>
      </c>
      <c r="M92" s="189">
        <v>0</v>
      </c>
      <c r="N92" s="189">
        <v>0</v>
      </c>
      <c r="O92" s="189">
        <v>0</v>
      </c>
      <c r="P92" s="189">
        <v>264.99999999999994</v>
      </c>
      <c r="Q92" s="189">
        <v>187.99999999999957</v>
      </c>
      <c r="R92" s="189">
        <v>164.99999999999957</v>
      </c>
      <c r="S92" s="189">
        <v>72.00000000000003</v>
      </c>
      <c r="T92" s="189">
        <v>10.999999999999973</v>
      </c>
      <c r="U92" s="189">
        <v>0</v>
      </c>
      <c r="V92" s="189">
        <v>0</v>
      </c>
      <c r="W92" s="189">
        <v>16.999999999999975</v>
      </c>
      <c r="X92" s="189">
        <v>0</v>
      </c>
      <c r="Y92" s="189">
        <v>157.60730116096045</v>
      </c>
      <c r="Z92" s="189">
        <v>0</v>
      </c>
      <c r="AA92" s="244">
        <v>0</v>
      </c>
      <c r="AB92" s="253">
        <v>0</v>
      </c>
      <c r="AC92" s="190">
        <v>2474692.014568654</v>
      </c>
      <c r="AD92" s="190">
        <v>1624218.5013440521</v>
      </c>
      <c r="AE92" s="190">
        <v>0</v>
      </c>
      <c r="AF92" s="190">
        <v>409509.03596131963</v>
      </c>
      <c r="AG92" s="190">
        <v>0</v>
      </c>
      <c r="AH92" s="190">
        <v>0</v>
      </c>
      <c r="AI92" s="190">
        <v>0</v>
      </c>
      <c r="AJ92" s="190">
        <v>0</v>
      </c>
      <c r="AK92" s="190">
        <v>0</v>
      </c>
      <c r="AL92" s="190">
        <v>0</v>
      </c>
      <c r="AM92" s="190">
        <v>22327.044999999995</v>
      </c>
      <c r="AN92" s="190">
        <v>31679.127999999928</v>
      </c>
      <c r="AO92" s="190">
        <v>41705.23499999989</v>
      </c>
      <c r="AP92" s="190">
        <v>24264.80333784001</v>
      </c>
      <c r="AQ92" s="190">
        <v>4633.903415212489</v>
      </c>
      <c r="AR92" s="190">
        <v>0</v>
      </c>
      <c r="AS92" s="189">
        <v>0</v>
      </c>
      <c r="AT92" s="189">
        <v>18931.879999999976</v>
      </c>
      <c r="AU92" s="190">
        <v>0</v>
      </c>
      <c r="AV92" s="190">
        <v>260052.04691558474</v>
      </c>
      <c r="AW92" s="190">
        <v>0</v>
      </c>
      <c r="AX92" s="190">
        <v>0</v>
      </c>
      <c r="AY92" s="190">
        <v>140000</v>
      </c>
      <c r="AZ92" s="191">
        <v>47750</v>
      </c>
      <c r="BA92" s="191">
        <v>1241.5</v>
      </c>
      <c r="BB92" s="190">
        <v>0</v>
      </c>
      <c r="BC92" s="190">
        <v>0</v>
      </c>
      <c r="BD92" s="268">
        <v>0</v>
      </c>
      <c r="BE92" s="253">
        <v>4098910.515912706</v>
      </c>
      <c r="BF92" s="190">
        <v>813103.0776299566</v>
      </c>
      <c r="BG92" s="190">
        <v>188991.5</v>
      </c>
      <c r="BH92" s="190">
        <v>260052.04691558474</v>
      </c>
      <c r="BI92" s="218">
        <f t="shared" si="1"/>
        <v>5101005.093542662</v>
      </c>
      <c r="BJ92" s="190">
        <v>0</v>
      </c>
      <c r="BK92" s="190">
        <v>5101005.093542663</v>
      </c>
      <c r="BL92" s="190">
        <v>4912013.593542662</v>
      </c>
      <c r="BM92" s="190">
        <v>5208.922156460936</v>
      </c>
      <c r="BN92" s="190">
        <v>5201.425794305239</v>
      </c>
      <c r="BO92" s="219">
        <v>0.0014412129389415752</v>
      </c>
      <c r="BP92" s="220">
        <v>0</v>
      </c>
      <c r="BQ92" s="268">
        <v>0</v>
      </c>
      <c r="BR92" s="266">
        <v>5101005.093542662</v>
      </c>
      <c r="BS92" s="238">
        <v>0</v>
      </c>
      <c r="BT92" s="254">
        <v>0</v>
      </c>
      <c r="BU92" s="272">
        <v>5101005.093542662</v>
      </c>
      <c r="BV92" s="10"/>
      <c r="BW92" s="228"/>
      <c r="BX92" s="188"/>
      <c r="BY92" s="188"/>
      <c r="BZ92" s="188"/>
      <c r="CA92" s="229">
        <v>106232</v>
      </c>
      <c r="CC92" s="235"/>
      <c r="CD92" s="224"/>
      <c r="CE92" s="224"/>
      <c r="CF92" s="224"/>
      <c r="CG92" s="224"/>
      <c r="CH92" s="224"/>
      <c r="CI92" s="224"/>
      <c r="CJ92" s="229"/>
    </row>
    <row r="93" spans="1:88" ht="15">
      <c r="A93" s="243">
        <v>5412</v>
      </c>
      <c r="B93" s="196" t="s">
        <v>53</v>
      </c>
      <c r="C93" s="189">
        <v>1176</v>
      </c>
      <c r="D93" s="189">
        <v>0</v>
      </c>
      <c r="E93" s="189">
        <v>1176</v>
      </c>
      <c r="F93" s="189">
        <v>702</v>
      </c>
      <c r="G93" s="189">
        <v>474</v>
      </c>
      <c r="H93" s="189">
        <v>0</v>
      </c>
      <c r="I93" s="189">
        <v>542.0780984719864</v>
      </c>
      <c r="J93" s="189">
        <v>0</v>
      </c>
      <c r="K93" s="189">
        <v>0</v>
      </c>
      <c r="L93" s="189">
        <v>0</v>
      </c>
      <c r="M93" s="189">
        <v>0</v>
      </c>
      <c r="N93" s="189">
        <v>0</v>
      </c>
      <c r="O93" s="189">
        <v>0</v>
      </c>
      <c r="P93" s="189">
        <v>291.99999999999983</v>
      </c>
      <c r="Q93" s="189">
        <v>239.99999999999974</v>
      </c>
      <c r="R93" s="189">
        <v>234.99999999999986</v>
      </c>
      <c r="S93" s="189">
        <v>175.99999999999974</v>
      </c>
      <c r="T93" s="189">
        <v>55.00000000000001</v>
      </c>
      <c r="U93" s="189">
        <v>0</v>
      </c>
      <c r="V93" s="189">
        <v>0</v>
      </c>
      <c r="W93" s="189">
        <v>94.64383561643832</v>
      </c>
      <c r="X93" s="189">
        <v>0</v>
      </c>
      <c r="Y93" s="189">
        <v>274.658530781021</v>
      </c>
      <c r="Z93" s="189">
        <v>0</v>
      </c>
      <c r="AA93" s="244">
        <v>0</v>
      </c>
      <c r="AB93" s="253">
        <v>0</v>
      </c>
      <c r="AC93" s="190">
        <v>2900223.3626497416</v>
      </c>
      <c r="AD93" s="190">
        <v>2238022.0047589554</v>
      </c>
      <c r="AE93" s="190">
        <v>0</v>
      </c>
      <c r="AF93" s="190">
        <v>713517.3441290322</v>
      </c>
      <c r="AG93" s="190">
        <v>0</v>
      </c>
      <c r="AH93" s="190">
        <v>0</v>
      </c>
      <c r="AI93" s="190">
        <v>0</v>
      </c>
      <c r="AJ93" s="190">
        <v>0</v>
      </c>
      <c r="AK93" s="190">
        <v>0</v>
      </c>
      <c r="AL93" s="190">
        <v>0</v>
      </c>
      <c r="AM93" s="190">
        <v>24601.875999999986</v>
      </c>
      <c r="AN93" s="190">
        <v>40441.43999999996</v>
      </c>
      <c r="AO93" s="190">
        <v>59398.36499999997</v>
      </c>
      <c r="AP93" s="190">
        <v>59313.96371471992</v>
      </c>
      <c r="AQ93" s="190">
        <v>23169.5170760625</v>
      </c>
      <c r="AR93" s="190">
        <v>0</v>
      </c>
      <c r="AS93" s="189">
        <v>0</v>
      </c>
      <c r="AT93" s="189">
        <v>105399.16109589039</v>
      </c>
      <c r="AU93" s="190">
        <v>0</v>
      </c>
      <c r="AV93" s="190">
        <v>453186.57578868465</v>
      </c>
      <c r="AW93" s="190">
        <v>0</v>
      </c>
      <c r="AX93" s="190">
        <v>0</v>
      </c>
      <c r="AY93" s="190">
        <v>140000</v>
      </c>
      <c r="AZ93" s="191">
        <v>49250</v>
      </c>
      <c r="BA93" s="191">
        <v>11686.63</v>
      </c>
      <c r="BB93" s="190">
        <v>0</v>
      </c>
      <c r="BC93" s="190">
        <v>806184</v>
      </c>
      <c r="BD93" s="268">
        <v>0</v>
      </c>
      <c r="BE93" s="253">
        <v>5138245.367408697</v>
      </c>
      <c r="BF93" s="190">
        <v>1479028.2428043894</v>
      </c>
      <c r="BG93" s="190">
        <v>1007120.63</v>
      </c>
      <c r="BH93" s="190">
        <v>453186.57578868465</v>
      </c>
      <c r="BI93" s="218">
        <f t="shared" si="1"/>
        <v>7624394.240213086</v>
      </c>
      <c r="BJ93" s="190">
        <v>0</v>
      </c>
      <c r="BK93" s="190">
        <v>7624394.240213086</v>
      </c>
      <c r="BL93" s="190">
        <v>7423457.610213086</v>
      </c>
      <c r="BM93" s="190">
        <v>6312.463954262828</v>
      </c>
      <c r="BN93" s="190">
        <v>6360.196327015437</v>
      </c>
      <c r="BO93" s="219">
        <v>-0.007504858387761089</v>
      </c>
      <c r="BP93" s="220">
        <v>0</v>
      </c>
      <c r="BQ93" s="268">
        <v>0</v>
      </c>
      <c r="BR93" s="266">
        <v>7624394.240213086</v>
      </c>
      <c r="BS93" s="238">
        <v>0</v>
      </c>
      <c r="BT93" s="254">
        <v>0</v>
      </c>
      <c r="BU93" s="272">
        <v>7624394.240213086</v>
      </c>
      <c r="BV93" s="10"/>
      <c r="BW93" s="228"/>
      <c r="BX93" s="188"/>
      <c r="BY93" s="188"/>
      <c r="BZ93" s="188"/>
      <c r="CA93" s="229">
        <v>82442</v>
      </c>
      <c r="CC93" s="235"/>
      <c r="CD93" s="224"/>
      <c r="CE93" s="224"/>
      <c r="CF93" s="224"/>
      <c r="CG93" s="224"/>
      <c r="CH93" s="224"/>
      <c r="CI93" s="224"/>
      <c r="CJ93" s="229"/>
    </row>
    <row r="94" spans="1:88" ht="15">
      <c r="A94" s="243">
        <v>6906</v>
      </c>
      <c r="B94" s="196" t="s">
        <v>135</v>
      </c>
      <c r="C94" s="189">
        <v>408</v>
      </c>
      <c r="D94" s="189">
        <v>0</v>
      </c>
      <c r="E94" s="189">
        <v>408</v>
      </c>
      <c r="F94" s="189">
        <v>212</v>
      </c>
      <c r="G94" s="189">
        <v>196</v>
      </c>
      <c r="H94" s="189">
        <v>0</v>
      </c>
      <c r="I94" s="189">
        <v>119.65784114052953</v>
      </c>
      <c r="J94" s="189">
        <v>0</v>
      </c>
      <c r="K94" s="189">
        <v>0</v>
      </c>
      <c r="L94" s="189">
        <v>0</v>
      </c>
      <c r="M94" s="189">
        <v>0</v>
      </c>
      <c r="N94" s="189">
        <v>0</v>
      </c>
      <c r="O94" s="189">
        <v>0</v>
      </c>
      <c r="P94" s="189">
        <v>153</v>
      </c>
      <c r="Q94" s="189">
        <v>47.000000000000185</v>
      </c>
      <c r="R94" s="189">
        <v>12.00000000000002</v>
      </c>
      <c r="S94" s="189">
        <v>14.999999999999984</v>
      </c>
      <c r="T94" s="189">
        <v>0.9999999999999989</v>
      </c>
      <c r="U94" s="189">
        <v>0.9999999999999989</v>
      </c>
      <c r="V94" s="189">
        <v>0</v>
      </c>
      <c r="W94" s="189">
        <v>12.00000000000002</v>
      </c>
      <c r="X94" s="189">
        <v>0</v>
      </c>
      <c r="Y94" s="189">
        <v>82.0607327424018</v>
      </c>
      <c r="Z94" s="189">
        <v>0</v>
      </c>
      <c r="AA94" s="244">
        <v>0</v>
      </c>
      <c r="AB94" s="253">
        <v>0</v>
      </c>
      <c r="AC94" s="190">
        <v>875850.9300309761</v>
      </c>
      <c r="AD94" s="190">
        <v>925426.820533239</v>
      </c>
      <c r="AE94" s="190">
        <v>0</v>
      </c>
      <c r="AF94" s="190">
        <v>157501.18895315682</v>
      </c>
      <c r="AG94" s="190">
        <v>0</v>
      </c>
      <c r="AH94" s="190">
        <v>0</v>
      </c>
      <c r="AI94" s="190">
        <v>0</v>
      </c>
      <c r="AJ94" s="190">
        <v>0</v>
      </c>
      <c r="AK94" s="190">
        <v>0</v>
      </c>
      <c r="AL94" s="190">
        <v>0</v>
      </c>
      <c r="AM94" s="190">
        <v>12890.709</v>
      </c>
      <c r="AN94" s="190">
        <v>7919.782000000031</v>
      </c>
      <c r="AO94" s="190">
        <v>3033.108000000005</v>
      </c>
      <c r="AP94" s="190">
        <v>5055.167362049995</v>
      </c>
      <c r="AQ94" s="190">
        <v>421.26394683749953</v>
      </c>
      <c r="AR94" s="190">
        <v>505.5167362049994</v>
      </c>
      <c r="AS94" s="189">
        <v>0</v>
      </c>
      <c r="AT94" s="189">
        <v>13363.680000000022</v>
      </c>
      <c r="AU94" s="190">
        <v>0</v>
      </c>
      <c r="AV94" s="190">
        <v>135400.20902496297</v>
      </c>
      <c r="AW94" s="190">
        <v>0</v>
      </c>
      <c r="AX94" s="190">
        <v>0</v>
      </c>
      <c r="AY94" s="190">
        <v>140000</v>
      </c>
      <c r="AZ94" s="191">
        <v>41750</v>
      </c>
      <c r="BA94" s="191">
        <v>23808.95</v>
      </c>
      <c r="BB94" s="190">
        <v>0</v>
      </c>
      <c r="BC94" s="190">
        <v>0</v>
      </c>
      <c r="BD94" s="268">
        <v>0</v>
      </c>
      <c r="BE94" s="253">
        <v>1801277.7505642152</v>
      </c>
      <c r="BF94" s="190">
        <v>336090.6250232124</v>
      </c>
      <c r="BG94" s="190">
        <v>205558.95</v>
      </c>
      <c r="BH94" s="190">
        <v>135400.20902496297</v>
      </c>
      <c r="BI94" s="218">
        <f t="shared" si="1"/>
        <v>2342927.3255874277</v>
      </c>
      <c r="BJ94" s="190">
        <v>0</v>
      </c>
      <c r="BK94" s="190">
        <v>2342927.3255874277</v>
      </c>
      <c r="BL94" s="190">
        <v>2137368.3755874275</v>
      </c>
      <c r="BM94" s="190">
        <v>5238.647979380949</v>
      </c>
      <c r="BN94" s="190">
        <v>5260.677676341949</v>
      </c>
      <c r="BO94" s="219">
        <v>-0.004187615800920617</v>
      </c>
      <c r="BP94" s="220">
        <v>0</v>
      </c>
      <c r="BQ94" s="268">
        <v>0</v>
      </c>
      <c r="BR94" s="266">
        <v>2342927.3255874277</v>
      </c>
      <c r="BS94" s="238">
        <v>0</v>
      </c>
      <c r="BT94" s="254">
        <v>0</v>
      </c>
      <c r="BU94" s="272">
        <v>2342927.3255874277</v>
      </c>
      <c r="BV94" s="10"/>
      <c r="BW94" s="228"/>
      <c r="BX94" s="188"/>
      <c r="BY94" s="188"/>
      <c r="BZ94" s="188"/>
      <c r="CA94" s="229">
        <v>85099</v>
      </c>
      <c r="CC94" s="235"/>
      <c r="CD94" s="224"/>
      <c r="CE94" s="224"/>
      <c r="CF94" s="224"/>
      <c r="CG94" s="224"/>
      <c r="CH94" s="224"/>
      <c r="CI94" s="224"/>
      <c r="CJ94" s="229"/>
    </row>
    <row r="95" spans="1:88" ht="15.75" thickBot="1">
      <c r="A95" s="245">
        <v>4654</v>
      </c>
      <c r="B95" s="246" t="s">
        <v>47</v>
      </c>
      <c r="C95" s="247">
        <v>1355</v>
      </c>
      <c r="D95" s="247">
        <v>457</v>
      </c>
      <c r="E95" s="247">
        <v>898</v>
      </c>
      <c r="F95" s="247">
        <v>542</v>
      </c>
      <c r="G95" s="247">
        <v>356</v>
      </c>
      <c r="H95" s="247">
        <v>37.42672413793103</v>
      </c>
      <c r="I95" s="247">
        <v>163.72375690607734</v>
      </c>
      <c r="J95" s="247">
        <v>139.99999999999977</v>
      </c>
      <c r="K95" s="247">
        <v>81.00000000000009</v>
      </c>
      <c r="L95" s="247">
        <v>61.999999999999936</v>
      </c>
      <c r="M95" s="247">
        <v>20</v>
      </c>
      <c r="N95" s="247">
        <v>20.99999999999999</v>
      </c>
      <c r="O95" s="247">
        <v>0</v>
      </c>
      <c r="P95" s="247">
        <v>284.00000000000017</v>
      </c>
      <c r="Q95" s="247">
        <v>168.99999999999997</v>
      </c>
      <c r="R95" s="247">
        <v>115.99999999999983</v>
      </c>
      <c r="S95" s="247">
        <v>64.99999999999997</v>
      </c>
      <c r="T95" s="247">
        <v>22.999999999999957</v>
      </c>
      <c r="U95" s="247">
        <v>3.0000000000000004</v>
      </c>
      <c r="V95" s="247">
        <v>202.09045226130658</v>
      </c>
      <c r="W95" s="247">
        <v>20.000000000000004</v>
      </c>
      <c r="X95" s="247">
        <v>105.01767676767686</v>
      </c>
      <c r="Y95" s="247">
        <v>158.48578964565922</v>
      </c>
      <c r="Z95" s="247">
        <v>0</v>
      </c>
      <c r="AA95" s="248">
        <v>0</v>
      </c>
      <c r="AB95" s="255">
        <v>1456078.2183076257</v>
      </c>
      <c r="AC95" s="256">
        <v>2239203.7928150427</v>
      </c>
      <c r="AD95" s="256">
        <v>1680877.2862746587</v>
      </c>
      <c r="AE95" s="256">
        <v>37894.932456896546</v>
      </c>
      <c r="AF95" s="256">
        <v>215503.52343646408</v>
      </c>
      <c r="AG95" s="256">
        <v>9073.399999999985</v>
      </c>
      <c r="AH95" s="256">
        <v>10499.220000000012</v>
      </c>
      <c r="AI95" s="256">
        <v>12054.659999999987</v>
      </c>
      <c r="AJ95" s="256">
        <v>5184.7870379999995</v>
      </c>
      <c r="AK95" s="256">
        <v>6805.032987374996</v>
      </c>
      <c r="AL95" s="256">
        <v>0</v>
      </c>
      <c r="AM95" s="256">
        <v>23927.852000000014</v>
      </c>
      <c r="AN95" s="256">
        <v>28477.513999999996</v>
      </c>
      <c r="AO95" s="256">
        <v>29320.043999999958</v>
      </c>
      <c r="AP95" s="256">
        <v>21905.72523554999</v>
      </c>
      <c r="AQ95" s="256">
        <v>9689.070777262481</v>
      </c>
      <c r="AR95" s="256">
        <v>1516.5502086150002</v>
      </c>
      <c r="AS95" s="247">
        <v>149361.01145728648</v>
      </c>
      <c r="AT95" s="247">
        <v>22272.800000000007</v>
      </c>
      <c r="AU95" s="256">
        <v>61960.429292929344</v>
      </c>
      <c r="AV95" s="256">
        <v>261501.55291533773</v>
      </c>
      <c r="AW95" s="256">
        <v>0</v>
      </c>
      <c r="AX95" s="256">
        <v>0</v>
      </c>
      <c r="AY95" s="256">
        <v>140000</v>
      </c>
      <c r="AZ95" s="257">
        <v>80500</v>
      </c>
      <c r="BA95" s="257">
        <v>2508.19</v>
      </c>
      <c r="BB95" s="256">
        <v>0</v>
      </c>
      <c r="BC95" s="256">
        <v>0</v>
      </c>
      <c r="BD95" s="270">
        <v>0</v>
      </c>
      <c r="BE95" s="255">
        <v>5376159.297397327</v>
      </c>
      <c r="BF95" s="256">
        <v>906948.1058057167</v>
      </c>
      <c r="BG95" s="256">
        <v>223008.19</v>
      </c>
      <c r="BH95" s="256">
        <v>323461.9822082671</v>
      </c>
      <c r="BI95" s="262">
        <f t="shared" si="1"/>
        <v>6506115.593203044</v>
      </c>
      <c r="BJ95" s="256">
        <v>1824125.5238869768</v>
      </c>
      <c r="BK95" s="256">
        <v>4681990.069316066</v>
      </c>
      <c r="BL95" s="256">
        <v>6283107.403203043</v>
      </c>
      <c r="BM95" s="256">
        <v>4636.97963336018</v>
      </c>
      <c r="BN95" s="256">
        <v>4599.808581538461</v>
      </c>
      <c r="BO95" s="263">
        <v>0.008080999711793749</v>
      </c>
      <c r="BP95" s="264">
        <v>0</v>
      </c>
      <c r="BQ95" s="270">
        <v>0</v>
      </c>
      <c r="BR95" s="267">
        <v>6506115.593203044</v>
      </c>
      <c r="BS95" s="275">
        <v>0</v>
      </c>
      <c r="BT95" s="258">
        <v>0</v>
      </c>
      <c r="BU95" s="273">
        <v>6506115.593203044</v>
      </c>
      <c r="BV95" s="86"/>
      <c r="BW95" s="230">
        <v>170679.97504953254</v>
      </c>
      <c r="BX95" s="231">
        <v>0</v>
      </c>
      <c r="BY95" s="231"/>
      <c r="BZ95" s="231"/>
      <c r="CA95" s="232">
        <v>75200</v>
      </c>
      <c r="CC95" s="236"/>
      <c r="CD95" s="237"/>
      <c r="CE95" s="237"/>
      <c r="CF95" s="237"/>
      <c r="CG95" s="237"/>
      <c r="CH95" s="237"/>
      <c r="CI95" s="237"/>
      <c r="CJ95" s="232"/>
    </row>
    <row r="96" spans="8:88" ht="13.5" thickBot="1">
      <c r="H96" s="9"/>
      <c r="BJ96" s="1"/>
      <c r="BK96" s="1"/>
      <c r="BL96" s="1"/>
      <c r="BM96" s="1"/>
      <c r="BN96" s="1"/>
      <c r="BP96" s="1"/>
      <c r="BQ96" s="1"/>
      <c r="BR96" s="156"/>
      <c r="BS96" s="1"/>
      <c r="BT96" s="1"/>
      <c r="BU96" s="6"/>
      <c r="CC96" s="145"/>
      <c r="CD96" s="145"/>
      <c r="CE96" s="145"/>
      <c r="CF96" s="145"/>
      <c r="CG96" s="145"/>
      <c r="CH96" s="145"/>
      <c r="CI96" s="145"/>
      <c r="CJ96" s="145"/>
    </row>
    <row r="97" spans="1:88" s="5" customFormat="1" ht="13.5" thickBot="1">
      <c r="A97" s="12"/>
      <c r="C97" s="175">
        <f aca="true" t="shared" si="2" ref="C97:BN97">SUM(C5:C95)</f>
        <v>44493.17</v>
      </c>
      <c r="D97" s="177">
        <f t="shared" si="2"/>
        <v>28067.17</v>
      </c>
      <c r="E97" s="178">
        <f t="shared" si="2"/>
        <v>16426</v>
      </c>
      <c r="F97" s="179">
        <f t="shared" si="2"/>
        <v>10033</v>
      </c>
      <c r="G97" s="177">
        <f t="shared" si="2"/>
        <v>6393</v>
      </c>
      <c r="H97" s="178">
        <f t="shared" si="2"/>
        <v>5866.062365067637</v>
      </c>
      <c r="I97" s="178">
        <f t="shared" si="2"/>
        <v>5020.727680621501</v>
      </c>
      <c r="J97" s="179">
        <f t="shared" si="2"/>
        <v>5434.3534911691395</v>
      </c>
      <c r="K97" s="177">
        <f t="shared" si="2"/>
        <v>5452.298292735451</v>
      </c>
      <c r="L97" s="177">
        <f t="shared" si="2"/>
        <v>3741.009644870882</v>
      </c>
      <c r="M97" s="177">
        <f t="shared" si="2"/>
        <v>1835.3918233133218</v>
      </c>
      <c r="N97" s="178">
        <f t="shared" si="2"/>
        <v>387.4209962479902</v>
      </c>
      <c r="O97" s="179">
        <f t="shared" si="2"/>
        <v>0.9999999999999992</v>
      </c>
      <c r="P97" s="177">
        <f t="shared" si="2"/>
        <v>3292.293554675331</v>
      </c>
      <c r="Q97" s="177">
        <f t="shared" si="2"/>
        <v>2925.1767083883537</v>
      </c>
      <c r="R97" s="177">
        <f t="shared" si="2"/>
        <v>2125.181064460745</v>
      </c>
      <c r="S97" s="177">
        <f t="shared" si="2"/>
        <v>1004.436683102977</v>
      </c>
      <c r="T97" s="178">
        <f t="shared" si="2"/>
        <v>339.0845453645905</v>
      </c>
      <c r="U97" s="179">
        <f t="shared" si="2"/>
        <v>11.00093984962406</v>
      </c>
      <c r="V97" s="177">
        <f t="shared" si="2"/>
        <v>8037.327196465628</v>
      </c>
      <c r="W97" s="177">
        <f t="shared" si="2"/>
        <v>794.3066281362695</v>
      </c>
      <c r="X97" s="177">
        <f t="shared" si="2"/>
        <v>10080.127245757072</v>
      </c>
      <c r="Y97" s="177">
        <f t="shared" si="2"/>
        <v>3446.982819635997</v>
      </c>
      <c r="Z97" s="177">
        <f t="shared" si="2"/>
        <v>310.2000000000007</v>
      </c>
      <c r="AA97" s="178">
        <f t="shared" si="2"/>
        <v>74.00000000000028</v>
      </c>
      <c r="AB97" s="179">
        <f t="shared" si="2"/>
        <v>89426684.65325437</v>
      </c>
      <c r="AC97" s="178">
        <f t="shared" si="2"/>
        <v>41450058.400947094</v>
      </c>
      <c r="AD97" s="179">
        <f t="shared" si="2"/>
        <v>30184967.671780594</v>
      </c>
      <c r="AE97" s="177">
        <f t="shared" si="2"/>
        <v>5939446.805254632</v>
      </c>
      <c r="AF97" s="177">
        <f t="shared" si="2"/>
        <v>6608598.0790779</v>
      </c>
      <c r="AG97" s="178">
        <f t="shared" si="2"/>
        <v>352200.44976267184</v>
      </c>
      <c r="AH97" s="179">
        <f t="shared" si="2"/>
        <v>706726.904704369</v>
      </c>
      <c r="AI97" s="177">
        <f t="shared" si="2"/>
        <v>727364.5052522456</v>
      </c>
      <c r="AJ97" s="177">
        <f t="shared" si="2"/>
        <v>475805.786758305</v>
      </c>
      <c r="AK97" s="177">
        <f t="shared" si="2"/>
        <v>125543.45997472662</v>
      </c>
      <c r="AL97" s="178">
        <f t="shared" si="2"/>
        <v>388.8590278499997</v>
      </c>
      <c r="AM97" s="178">
        <f t="shared" si="2"/>
        <v>277385.6088620607</v>
      </c>
      <c r="AN97" s="179">
        <f t="shared" si="2"/>
        <v>492909.82642368786</v>
      </c>
      <c r="AO97" s="178">
        <f t="shared" si="2"/>
        <v>537158.6406720334</v>
      </c>
      <c r="AP97" s="179">
        <f t="shared" si="2"/>
        <v>338506.36917786184</v>
      </c>
      <c r="AQ97" s="177">
        <f t="shared" si="2"/>
        <v>142844.09389188667</v>
      </c>
      <c r="AR97" s="177">
        <f t="shared" si="2"/>
        <v>5561.159207969478</v>
      </c>
      <c r="AS97" s="177">
        <f t="shared" si="2"/>
        <v>5940227.7843638165</v>
      </c>
      <c r="AT97" s="177">
        <f t="shared" si="2"/>
        <v>884571.6333576754</v>
      </c>
      <c r="AU97" s="177">
        <f t="shared" si="2"/>
        <v>5947275.074996672</v>
      </c>
      <c r="AV97" s="178">
        <f t="shared" si="2"/>
        <v>5687521.6523993965</v>
      </c>
      <c r="AW97" s="179">
        <f t="shared" si="2"/>
        <v>248160.0000000006</v>
      </c>
      <c r="AX97" s="177">
        <f t="shared" si="2"/>
        <v>88800.00000000033</v>
      </c>
      <c r="AY97" s="177">
        <f t="shared" si="2"/>
        <v>12740000</v>
      </c>
      <c r="AZ97" s="178">
        <f t="shared" si="2"/>
        <v>2347524.7</v>
      </c>
      <c r="BA97" s="179">
        <f t="shared" si="2"/>
        <v>6814.54000000001</v>
      </c>
      <c r="BB97" s="177">
        <f t="shared" si="2"/>
        <v>100000</v>
      </c>
      <c r="BC97" s="177">
        <f t="shared" si="2"/>
        <v>806184</v>
      </c>
      <c r="BD97" s="176">
        <f t="shared" si="2"/>
        <v>-73289.79</v>
      </c>
      <c r="BE97" s="71">
        <f t="shared" si="2"/>
        <v>161061710.725982</v>
      </c>
      <c r="BF97" s="178">
        <f t="shared" si="2"/>
        <v>35526996.69316576</v>
      </c>
      <c r="BG97" s="179">
        <f t="shared" si="2"/>
        <v>15927233.45</v>
      </c>
      <c r="BH97" s="176">
        <f t="shared" si="2"/>
        <v>11634796.727396067</v>
      </c>
      <c r="BI97" s="71">
        <f t="shared" si="2"/>
        <v>212515940.8691479</v>
      </c>
      <c r="BJ97" s="175">
        <f t="shared" si="2"/>
        <v>120983176.70569655</v>
      </c>
      <c r="BK97" s="176">
        <f t="shared" si="2"/>
        <v>91532764.16345127</v>
      </c>
      <c r="BL97" s="175">
        <f t="shared" si="2"/>
        <v>197494891.4191478</v>
      </c>
      <c r="BM97" s="34">
        <f t="shared" si="2"/>
        <v>387348.9247933346</v>
      </c>
      <c r="BN97" s="34">
        <f t="shared" si="2"/>
        <v>389603.3017149767</v>
      </c>
      <c r="BO97" s="180">
        <f aca="true" t="shared" si="3" ref="BO97:BU97">SUM(BO5:BO95)</f>
        <v>-0.2829584227872858</v>
      </c>
      <c r="BP97" s="178">
        <f t="shared" si="3"/>
        <v>0.5332053568583182</v>
      </c>
      <c r="BQ97" s="180">
        <f t="shared" si="3"/>
        <v>1256201.660912186</v>
      </c>
      <c r="BR97" s="181">
        <f t="shared" si="3"/>
        <v>213772142.53006005</v>
      </c>
      <c r="BS97" s="11">
        <f t="shared" si="3"/>
        <v>-43094.82000000001</v>
      </c>
      <c r="BT97" s="45">
        <f t="shared" si="3"/>
        <v>-24007.159999999996</v>
      </c>
      <c r="BU97" s="11">
        <f t="shared" si="3"/>
        <v>213705040.55006</v>
      </c>
      <c r="BW97" s="181">
        <f>SUM(BW5:BW95)</f>
        <v>9695092.201760512</v>
      </c>
      <c r="BX97" s="215">
        <f>SUM(BX5:BX95)</f>
        <v>1677253.9866168834</v>
      </c>
      <c r="BY97" s="180">
        <f>SUM(BY5:BY95)</f>
        <v>633490</v>
      </c>
      <c r="BZ97" s="34">
        <f>SUM(BZ5:BZ95)</f>
        <v>180456</v>
      </c>
      <c r="CA97" s="182">
        <f>SUM(CA5:CA95)</f>
        <v>5565767</v>
      </c>
      <c r="CC97" s="202">
        <f>SUM(CC5:CC95)</f>
        <v>5026202.5</v>
      </c>
      <c r="CD97" s="203">
        <f aca="true" t="shared" si="4" ref="CD97:CJ97">SUM(CD5:CD95)</f>
        <v>72600</v>
      </c>
      <c r="CE97" s="203">
        <f t="shared" si="4"/>
        <v>209300</v>
      </c>
      <c r="CF97" s="203">
        <f t="shared" si="4"/>
        <v>984130</v>
      </c>
      <c r="CG97" s="203">
        <f t="shared" si="4"/>
        <v>2648088.9</v>
      </c>
      <c r="CH97" s="203">
        <f t="shared" si="4"/>
        <v>370404</v>
      </c>
      <c r="CI97" s="203">
        <f t="shared" si="4"/>
        <v>460726</v>
      </c>
      <c r="CJ97" s="204">
        <f t="shared" si="4"/>
        <v>771584</v>
      </c>
    </row>
    <row r="98" spans="81:88" ht="12.75">
      <c r="CC98" s="10"/>
      <c r="CD98" s="10"/>
      <c r="CE98" s="10"/>
      <c r="CF98" s="10"/>
      <c r="CG98" s="10"/>
      <c r="CH98" s="10"/>
      <c r="CI98" s="10"/>
      <c r="CJ98" s="10"/>
    </row>
    <row r="99" spans="62:88" ht="12.75">
      <c r="BJ99" s="2"/>
      <c r="CC99" s="10"/>
      <c r="CD99" s="10"/>
      <c r="CE99" s="10"/>
      <c r="CF99" s="10"/>
      <c r="CG99" s="10"/>
      <c r="CH99" s="10"/>
      <c r="CI99" s="10"/>
      <c r="CJ99" s="10"/>
    </row>
    <row r="100" spans="62:88" ht="12.75">
      <c r="BJ100" s="2"/>
      <c r="BP100" s="158"/>
      <c r="CC100" s="10"/>
      <c r="CD100" s="10"/>
      <c r="CE100" s="10"/>
      <c r="CF100" s="10"/>
      <c r="CG100" s="10"/>
      <c r="CH100" s="10"/>
      <c r="CI100" s="10"/>
      <c r="CJ100" s="10"/>
    </row>
    <row r="101" spans="5:88" ht="12.75">
      <c r="E101" s="10"/>
      <c r="F101" s="10"/>
      <c r="G101" s="10"/>
      <c r="BJ101" s="2"/>
      <c r="BP101" s="158"/>
      <c r="CC101" s="10"/>
      <c r="CD101" s="10"/>
      <c r="CE101" s="10"/>
      <c r="CF101" s="10"/>
      <c r="CG101" s="10"/>
      <c r="CH101" s="10"/>
      <c r="CI101" s="10"/>
      <c r="CJ101" s="10"/>
    </row>
    <row r="102" spans="5:88" ht="12.75">
      <c r="E102" s="10"/>
      <c r="F102" s="10"/>
      <c r="G102" s="10"/>
      <c r="BJ102" s="2"/>
      <c r="BP102" s="158"/>
      <c r="CC102" s="10"/>
      <c r="CD102" s="10"/>
      <c r="CE102" s="10"/>
      <c r="CF102" s="10"/>
      <c r="CG102" s="10"/>
      <c r="CH102" s="10"/>
      <c r="CI102" s="10"/>
      <c r="CJ102" s="10"/>
    </row>
    <row r="103" spans="5:88" ht="12.75">
      <c r="E103" s="10"/>
      <c r="F103" s="10"/>
      <c r="G103" s="10"/>
      <c r="BJ103" s="2"/>
      <c r="BP103" s="158"/>
      <c r="CC103" s="10"/>
      <c r="CD103" s="10"/>
      <c r="CE103" s="10"/>
      <c r="CF103" s="10"/>
      <c r="CG103" s="10"/>
      <c r="CH103" s="10"/>
      <c r="CI103" s="10"/>
      <c r="CJ103" s="10"/>
    </row>
    <row r="104" spans="5:88" ht="12.75">
      <c r="E104" s="10"/>
      <c r="F104" s="10"/>
      <c r="G104" s="10"/>
      <c r="BJ104" s="2"/>
      <c r="BP104" s="158"/>
      <c r="CC104" s="10"/>
      <c r="CD104" s="10"/>
      <c r="CE104" s="10"/>
      <c r="CF104" s="10"/>
      <c r="CG104" s="10"/>
      <c r="CH104" s="10"/>
      <c r="CI104" s="10"/>
      <c r="CJ104" s="10"/>
    </row>
    <row r="105" spans="5:88" ht="12.75">
      <c r="E105" s="10"/>
      <c r="F105" s="10"/>
      <c r="G105" s="10"/>
      <c r="BJ105" s="2"/>
      <c r="BP105" s="158"/>
      <c r="CC105" s="10"/>
      <c r="CD105" s="10"/>
      <c r="CE105" s="10"/>
      <c r="CF105" s="10"/>
      <c r="CG105" s="10"/>
      <c r="CH105" s="10"/>
      <c r="CI105" s="10"/>
      <c r="CJ105" s="10"/>
    </row>
    <row r="106" spans="5:88" ht="12.75">
      <c r="E106" s="10"/>
      <c r="F106" s="10"/>
      <c r="G106" s="10"/>
      <c r="BJ106" s="2"/>
      <c r="BP106" s="158"/>
      <c r="CC106" s="10"/>
      <c r="CD106" s="10"/>
      <c r="CE106" s="10"/>
      <c r="CF106" s="10"/>
      <c r="CG106" s="10"/>
      <c r="CH106" s="10"/>
      <c r="CI106" s="10"/>
      <c r="CJ106" s="10"/>
    </row>
    <row r="107" spans="5:88" ht="12.75">
      <c r="E107" s="10"/>
      <c r="F107" s="10"/>
      <c r="G107" s="10"/>
      <c r="BJ107" s="2"/>
      <c r="BP107" s="158"/>
      <c r="CC107" s="10"/>
      <c r="CD107" s="10"/>
      <c r="CE107" s="10"/>
      <c r="CF107" s="10"/>
      <c r="CG107" s="10"/>
      <c r="CH107" s="10"/>
      <c r="CI107" s="10"/>
      <c r="CJ107" s="10"/>
    </row>
    <row r="108" spans="5:88" ht="12.75">
      <c r="E108" s="10"/>
      <c r="F108" s="10"/>
      <c r="G108" s="10"/>
      <c r="BJ108" s="2"/>
      <c r="BP108" s="158"/>
      <c r="CC108" s="10"/>
      <c r="CD108" s="10"/>
      <c r="CE108" s="10"/>
      <c r="CF108" s="10"/>
      <c r="CG108" s="10"/>
      <c r="CH108" s="10"/>
      <c r="CI108" s="10"/>
      <c r="CJ108" s="10"/>
    </row>
    <row r="109" spans="5:88" ht="12.75">
      <c r="E109" s="10"/>
      <c r="F109" s="10"/>
      <c r="G109" s="10"/>
      <c r="BJ109" s="2"/>
      <c r="BP109" s="158"/>
      <c r="CC109" s="10"/>
      <c r="CD109" s="10"/>
      <c r="CE109" s="10"/>
      <c r="CF109" s="10"/>
      <c r="CG109" s="10"/>
      <c r="CH109" s="10"/>
      <c r="CI109" s="10"/>
      <c r="CJ109" s="10"/>
    </row>
    <row r="110" spans="5:88" ht="12.75">
      <c r="E110" s="10"/>
      <c r="F110" s="10"/>
      <c r="G110" s="10"/>
      <c r="BJ110" s="2"/>
      <c r="BP110" s="158"/>
      <c r="CC110" s="10"/>
      <c r="CD110" s="10"/>
      <c r="CE110" s="10"/>
      <c r="CF110" s="10"/>
      <c r="CG110" s="10"/>
      <c r="CH110" s="10"/>
      <c r="CI110" s="10"/>
      <c r="CJ110" s="10"/>
    </row>
    <row r="111" spans="5:88" ht="12.75">
      <c r="E111" s="10"/>
      <c r="F111" s="10"/>
      <c r="G111" s="10"/>
      <c r="BJ111" s="2"/>
      <c r="BP111" s="158"/>
      <c r="CC111" s="10"/>
      <c r="CD111" s="10"/>
      <c r="CE111" s="10"/>
      <c r="CF111" s="10"/>
      <c r="CG111" s="10"/>
      <c r="CH111" s="10"/>
      <c r="CI111" s="10"/>
      <c r="CJ111" s="10"/>
    </row>
    <row r="112" spans="5:88" ht="12.75">
      <c r="E112" s="10"/>
      <c r="F112" s="10"/>
      <c r="G112" s="10"/>
      <c r="BJ112" s="2"/>
      <c r="BP112" s="158"/>
      <c r="CC112" s="10"/>
      <c r="CD112" s="10"/>
      <c r="CE112" s="10"/>
      <c r="CF112" s="10"/>
      <c r="CG112" s="10"/>
      <c r="CH112" s="10"/>
      <c r="CI112" s="10"/>
      <c r="CJ112" s="10"/>
    </row>
    <row r="113" spans="5:88" ht="12.75">
      <c r="E113" s="10"/>
      <c r="F113" s="10"/>
      <c r="G113" s="10"/>
      <c r="BJ113" s="2"/>
      <c r="BP113" s="158"/>
      <c r="CC113" s="10"/>
      <c r="CD113" s="10"/>
      <c r="CE113" s="10"/>
      <c r="CF113" s="10"/>
      <c r="CG113" s="10"/>
      <c r="CH113" s="10"/>
      <c r="CI113" s="10"/>
      <c r="CJ113" s="10"/>
    </row>
    <row r="114" spans="5:88" ht="12.75">
      <c r="E114" s="10"/>
      <c r="F114" s="10"/>
      <c r="G114" s="10"/>
      <c r="BJ114" s="2"/>
      <c r="BP114" s="158"/>
      <c r="CC114" s="10"/>
      <c r="CD114" s="10"/>
      <c r="CE114" s="10"/>
      <c r="CF114" s="10"/>
      <c r="CG114" s="10"/>
      <c r="CH114" s="10"/>
      <c r="CI114" s="10"/>
      <c r="CJ114" s="10"/>
    </row>
    <row r="115" spans="5:88" ht="12.75">
      <c r="E115" s="10"/>
      <c r="F115" s="10"/>
      <c r="G115" s="10"/>
      <c r="BP115" s="158"/>
      <c r="CC115" s="10"/>
      <c r="CD115" s="10"/>
      <c r="CE115" s="10"/>
      <c r="CF115" s="10"/>
      <c r="CG115" s="10"/>
      <c r="CH115" s="10"/>
      <c r="CI115" s="10"/>
      <c r="CJ115" s="10"/>
    </row>
    <row r="116" spans="5:88" ht="12.75">
      <c r="E116" s="10"/>
      <c r="F116" s="10"/>
      <c r="G116" s="10"/>
      <c r="BP116" s="158"/>
      <c r="CC116" s="10"/>
      <c r="CD116" s="10"/>
      <c r="CE116" s="10"/>
      <c r="CF116" s="10"/>
      <c r="CG116" s="10"/>
      <c r="CH116" s="10"/>
      <c r="CI116" s="10"/>
      <c r="CJ116" s="10"/>
    </row>
    <row r="117" spans="5:88" ht="12.75">
      <c r="E117" s="10"/>
      <c r="F117" s="10"/>
      <c r="G117" s="10"/>
      <c r="BP117" s="158"/>
      <c r="CC117" s="10"/>
      <c r="CD117" s="10"/>
      <c r="CE117" s="10"/>
      <c r="CF117" s="10"/>
      <c r="CG117" s="10"/>
      <c r="CH117" s="10"/>
      <c r="CI117" s="10"/>
      <c r="CJ117" s="10"/>
    </row>
    <row r="118" spans="5:88" ht="12.75">
      <c r="E118" s="10"/>
      <c r="F118" s="10"/>
      <c r="G118" s="10"/>
      <c r="BP118" s="158"/>
      <c r="CC118" s="10"/>
      <c r="CD118" s="10"/>
      <c r="CE118" s="10"/>
      <c r="CF118" s="10"/>
      <c r="CG118" s="10"/>
      <c r="CH118" s="10"/>
      <c r="CI118" s="10"/>
      <c r="CJ118" s="10"/>
    </row>
    <row r="119" spans="68:88" ht="12.75">
      <c r="BP119" s="158"/>
      <c r="CC119" s="10"/>
      <c r="CD119" s="10"/>
      <c r="CE119" s="10"/>
      <c r="CF119" s="10"/>
      <c r="CG119" s="10"/>
      <c r="CH119" s="10"/>
      <c r="CI119" s="10"/>
      <c r="CJ119" s="10"/>
    </row>
    <row r="120" spans="68:88" ht="12.75">
      <c r="BP120" s="158"/>
      <c r="CC120" s="10"/>
      <c r="CD120" s="10"/>
      <c r="CE120" s="10"/>
      <c r="CF120" s="10"/>
      <c r="CG120" s="10"/>
      <c r="CH120" s="10"/>
      <c r="CI120" s="10"/>
      <c r="CJ120" s="10"/>
    </row>
    <row r="121" spans="68:88" ht="12.75">
      <c r="BP121" s="158"/>
      <c r="CC121" s="10"/>
      <c r="CD121" s="10"/>
      <c r="CE121" s="10"/>
      <c r="CF121" s="10"/>
      <c r="CG121" s="10"/>
      <c r="CH121" s="10"/>
      <c r="CI121" s="10"/>
      <c r="CJ121" s="10"/>
    </row>
    <row r="122" spans="68:88" ht="12.75">
      <c r="BP122" s="158"/>
      <c r="CC122" s="10"/>
      <c r="CD122" s="10"/>
      <c r="CE122" s="10"/>
      <c r="CF122" s="10"/>
      <c r="CG122" s="10"/>
      <c r="CH122" s="10"/>
      <c r="CI122" s="10"/>
      <c r="CJ122" s="10"/>
    </row>
    <row r="123" spans="68:88" ht="12.75">
      <c r="BP123" s="158"/>
      <c r="CC123" s="10"/>
      <c r="CD123" s="10"/>
      <c r="CE123" s="10"/>
      <c r="CF123" s="10"/>
      <c r="CG123" s="10"/>
      <c r="CH123" s="10"/>
      <c r="CI123" s="10"/>
      <c r="CJ123" s="10"/>
    </row>
    <row r="124" spans="68:88" ht="12.75">
      <c r="BP124" s="158"/>
      <c r="CC124" s="10"/>
      <c r="CD124" s="10"/>
      <c r="CE124" s="10"/>
      <c r="CF124" s="10"/>
      <c r="CG124" s="10"/>
      <c r="CH124" s="10"/>
      <c r="CI124" s="10"/>
      <c r="CJ124" s="10"/>
    </row>
    <row r="125" spans="68:88" ht="12.75">
      <c r="BP125" s="158"/>
      <c r="CC125" s="10"/>
      <c r="CD125" s="10"/>
      <c r="CE125" s="10"/>
      <c r="CF125" s="10"/>
      <c r="CG125" s="10"/>
      <c r="CH125" s="10"/>
      <c r="CI125" s="10"/>
      <c r="CJ125" s="10"/>
    </row>
    <row r="126" spans="68:88" ht="12.75">
      <c r="BP126" s="158"/>
      <c r="CC126" s="10"/>
      <c r="CD126" s="10"/>
      <c r="CE126" s="10"/>
      <c r="CF126" s="10"/>
      <c r="CG126" s="10"/>
      <c r="CH126" s="10"/>
      <c r="CI126" s="10"/>
      <c r="CJ126" s="10"/>
    </row>
    <row r="127" spans="68:88" ht="12.75">
      <c r="BP127" s="158"/>
      <c r="CC127" s="10"/>
      <c r="CD127" s="10"/>
      <c r="CE127" s="10"/>
      <c r="CF127" s="10"/>
      <c r="CG127" s="10"/>
      <c r="CH127" s="10"/>
      <c r="CI127" s="10"/>
      <c r="CJ127" s="10"/>
    </row>
    <row r="128" spans="68:88" ht="12.75">
      <c r="BP128" s="158"/>
      <c r="CC128" s="10"/>
      <c r="CD128" s="10"/>
      <c r="CE128" s="10"/>
      <c r="CF128" s="10"/>
      <c r="CG128" s="10"/>
      <c r="CH128" s="10"/>
      <c r="CI128" s="10"/>
      <c r="CJ128" s="10"/>
    </row>
    <row r="129" spans="68:88" ht="12.75">
      <c r="BP129" s="158"/>
      <c r="CC129" s="10"/>
      <c r="CD129" s="10"/>
      <c r="CE129" s="10"/>
      <c r="CF129" s="10"/>
      <c r="CG129" s="10"/>
      <c r="CH129" s="10"/>
      <c r="CI129" s="10"/>
      <c r="CJ129" s="10"/>
    </row>
    <row r="130" spans="68:88" ht="12.75">
      <c r="BP130" s="158"/>
      <c r="CC130" s="10"/>
      <c r="CD130" s="10"/>
      <c r="CE130" s="10"/>
      <c r="CF130" s="10"/>
      <c r="CG130" s="10"/>
      <c r="CH130" s="10"/>
      <c r="CI130" s="10"/>
      <c r="CJ130" s="10"/>
    </row>
    <row r="131" spans="68:88" ht="12.75">
      <c r="BP131" s="158"/>
      <c r="CC131" s="10"/>
      <c r="CD131" s="10"/>
      <c r="CE131" s="10"/>
      <c r="CF131" s="10"/>
      <c r="CG131" s="10"/>
      <c r="CH131" s="10"/>
      <c r="CI131" s="10"/>
      <c r="CJ131" s="10"/>
    </row>
    <row r="132" spans="68:88" ht="12.75">
      <c r="BP132" s="158"/>
      <c r="CC132" s="10"/>
      <c r="CD132" s="10"/>
      <c r="CE132" s="10"/>
      <c r="CF132" s="10"/>
      <c r="CG132" s="10"/>
      <c r="CH132" s="10"/>
      <c r="CI132" s="10"/>
      <c r="CJ132" s="10"/>
    </row>
    <row r="133" spans="68:88" ht="12.75">
      <c r="BP133" s="158"/>
      <c r="CC133" s="10"/>
      <c r="CD133" s="10"/>
      <c r="CE133" s="10"/>
      <c r="CF133" s="10"/>
      <c r="CG133" s="10"/>
      <c r="CH133" s="10"/>
      <c r="CI133" s="10"/>
      <c r="CJ133" s="10"/>
    </row>
    <row r="134" spans="68:88" ht="12.75">
      <c r="BP134" s="158"/>
      <c r="CC134" s="10"/>
      <c r="CD134" s="10"/>
      <c r="CE134" s="10"/>
      <c r="CF134" s="10"/>
      <c r="CG134" s="10"/>
      <c r="CH134" s="10"/>
      <c r="CI134" s="10"/>
      <c r="CJ134" s="10"/>
    </row>
    <row r="135" ht="12.75">
      <c r="BP135" s="158"/>
    </row>
    <row r="136" ht="12.75">
      <c r="BP136" s="158"/>
    </row>
    <row r="137" ht="12.75">
      <c r="BP137" s="158"/>
    </row>
    <row r="138" ht="12.75">
      <c r="BP138" s="158"/>
    </row>
    <row r="139" ht="12.75">
      <c r="BP139" s="158"/>
    </row>
    <row r="140" ht="12.75">
      <c r="BP140" s="158"/>
    </row>
    <row r="141" ht="12.75">
      <c r="BP141" s="158"/>
    </row>
    <row r="142" ht="12.75">
      <c r="BP142" s="158"/>
    </row>
    <row r="143" ht="12.75">
      <c r="BP143" s="158"/>
    </row>
    <row r="144" ht="12.75">
      <c r="BP144" s="158"/>
    </row>
    <row r="145" ht="12.75">
      <c r="BP145" s="158"/>
    </row>
    <row r="146" ht="12.75">
      <c r="BP146" s="158"/>
    </row>
    <row r="147" ht="12.75">
      <c r="BP147" s="158"/>
    </row>
    <row r="148" ht="12.75">
      <c r="BP148" s="158"/>
    </row>
    <row r="149" ht="12.75">
      <c r="BP149" s="158"/>
    </row>
    <row r="150" ht="12.75">
      <c r="BP150" s="158"/>
    </row>
    <row r="151" ht="12.75">
      <c r="BP151" s="158"/>
    </row>
    <row r="152" ht="12.75">
      <c r="BP152" s="158"/>
    </row>
    <row r="153" ht="12.75">
      <c r="BP153" s="158"/>
    </row>
    <row r="154" ht="12.75">
      <c r="BP154" s="158"/>
    </row>
    <row r="155" ht="12.75">
      <c r="BP155" s="158"/>
    </row>
    <row r="156" ht="12.75">
      <c r="BP156" s="158"/>
    </row>
    <row r="157" ht="12.75">
      <c r="BP157" s="158"/>
    </row>
    <row r="158" ht="12.75">
      <c r="BP158" s="158"/>
    </row>
    <row r="159" ht="12.75">
      <c r="BP159" s="158"/>
    </row>
    <row r="160" ht="12.75">
      <c r="BP160" s="158"/>
    </row>
    <row r="161" ht="12.75">
      <c r="BP161" s="158"/>
    </row>
    <row r="162" ht="12.75">
      <c r="BP162" s="158"/>
    </row>
    <row r="163" ht="12.75">
      <c r="BP163" s="158"/>
    </row>
    <row r="164" ht="12.75">
      <c r="BP164" s="158"/>
    </row>
    <row r="165" ht="12.75">
      <c r="BP165" s="158"/>
    </row>
    <row r="166" ht="12.75">
      <c r="BP166" s="158"/>
    </row>
    <row r="167" ht="12.75">
      <c r="BP167" s="158"/>
    </row>
    <row r="168" ht="12.75">
      <c r="BP168" s="158"/>
    </row>
    <row r="169" ht="12.75">
      <c r="BP169" s="158"/>
    </row>
    <row r="170" ht="12.75">
      <c r="BP170" s="158"/>
    </row>
    <row r="171" ht="12.75">
      <c r="BP171" s="158"/>
    </row>
    <row r="172" ht="12.75">
      <c r="BP172" s="158"/>
    </row>
    <row r="173" ht="12.75">
      <c r="BP173" s="158"/>
    </row>
    <row r="174" ht="12.75">
      <c r="BP174" s="158"/>
    </row>
    <row r="175" ht="12.75">
      <c r="BP175" s="158"/>
    </row>
    <row r="176" ht="12.75">
      <c r="BP176" s="158"/>
    </row>
    <row r="177" ht="12.75">
      <c r="BP177" s="158"/>
    </row>
    <row r="178" ht="12.75">
      <c r="BP178" s="158"/>
    </row>
    <row r="179" ht="12.75">
      <c r="BP179" s="158"/>
    </row>
    <row r="180" ht="12.75">
      <c r="BP180" s="4"/>
    </row>
  </sheetData>
  <sheetProtection/>
  <mergeCells count="3">
    <mergeCell ref="C3:AA3"/>
    <mergeCell ref="CC3:CJ3"/>
    <mergeCell ref="BW3:CA3"/>
  </mergeCells>
  <conditionalFormatting sqref="A1:A65536">
    <cfRule type="duplicateValues" priority="2" dxfId="0">
      <formula>AND(COUNTIF($A$1:$A$65536,A1)&gt;1,NOT(ISBLANK(A1)))</formula>
    </cfRule>
  </conditionalFormatting>
  <dataValidations count="1">
    <dataValidation type="decimal" operator="greaterThanOrEqual" allowBlank="1" showInputMessage="1" showErrorMessage="1" error="This figure cannot be negative" sqref="AZ5:AZ95">
      <formula1>0</formula1>
    </dataValidation>
  </dataValidations>
  <printOptions/>
  <pageMargins left="0.75" right="0.75" top="1" bottom="1" header="0.5" footer="0.5"/>
  <pageSetup fitToWidth="3" fitToHeight="1" horizontalDpi="600" verticalDpi="600" orientation="landscape" paperSize="8" scale="43" r:id="rId1"/>
  <ignoredErrors>
    <ignoredError sqref="BI5:BI95" formulaRange="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30"/>
  <sheetViews>
    <sheetView zoomScalePageLayoutView="0" workbookViewId="0" topLeftCell="A1">
      <selection activeCell="H9" sqref="H9"/>
    </sheetView>
  </sheetViews>
  <sheetFormatPr defaultColWidth="12.7109375" defaultRowHeight="12.75"/>
  <cols>
    <col min="1" max="1" width="19.28125" style="48" customWidth="1"/>
    <col min="2" max="4" width="12.7109375" style="48" customWidth="1"/>
    <col min="5" max="5" width="4.7109375" style="48" customWidth="1"/>
    <col min="6" max="6" width="15.57421875" style="48" bestFit="1" customWidth="1"/>
    <col min="7" max="16384" width="12.7109375" style="48" customWidth="1"/>
  </cols>
  <sheetData>
    <row r="1" spans="1:2" ht="18">
      <c r="A1" s="49" t="s">
        <v>295</v>
      </c>
      <c r="B1" s="77"/>
    </row>
    <row r="2" spans="1:2" ht="12.75">
      <c r="A2" s="50"/>
      <c r="B2" s="57"/>
    </row>
    <row r="4" spans="4:6" ht="12.75">
      <c r="D4" s="294"/>
      <c r="E4" s="294"/>
      <c r="F4" s="295" t="s">
        <v>141</v>
      </c>
    </row>
    <row r="5" spans="1:6" ht="12.75">
      <c r="A5" s="50"/>
      <c r="D5" s="294"/>
      <c r="E5" s="294"/>
      <c r="F5" s="295" t="s">
        <v>119</v>
      </c>
    </row>
    <row r="6" spans="1:6" ht="12.75">
      <c r="A6" s="50"/>
      <c r="D6" s="295" t="s">
        <v>120</v>
      </c>
      <c r="E6" s="294"/>
      <c r="F6" s="295" t="s">
        <v>121</v>
      </c>
    </row>
    <row r="7" spans="4:6" ht="12.75">
      <c r="D7" s="48" t="s">
        <v>122</v>
      </c>
      <c r="F7" s="48" t="s">
        <v>118</v>
      </c>
    </row>
    <row r="9" spans="1:6" ht="12.75">
      <c r="A9" s="48" t="s">
        <v>123</v>
      </c>
      <c r="D9" s="53"/>
      <c r="E9" s="53"/>
      <c r="F9" s="173">
        <f>EYSFF!X40</f>
        <v>238802</v>
      </c>
    </row>
    <row r="10" spans="4:6" ht="13.5" customHeight="1">
      <c r="D10" s="53"/>
      <c r="E10" s="53"/>
      <c r="F10" s="53"/>
    </row>
    <row r="11" spans="1:6" ht="13.5" customHeight="1">
      <c r="A11" s="52" t="s">
        <v>120</v>
      </c>
      <c r="D11" s="53"/>
      <c r="E11" s="53"/>
      <c r="F11" s="53"/>
    </row>
    <row r="12" spans="1:6" ht="13.5" customHeight="1">
      <c r="A12" s="51" t="s">
        <v>127</v>
      </c>
      <c r="D12" s="53">
        <v>4.92</v>
      </c>
      <c r="E12" s="53"/>
      <c r="F12" s="53"/>
    </row>
    <row r="13" spans="1:6" ht="13.5" customHeight="1">
      <c r="A13" s="51" t="s">
        <v>117</v>
      </c>
      <c r="D13" s="53">
        <f>EYSFF!N40</f>
        <v>0.5273689514272535</v>
      </c>
      <c r="E13" s="53"/>
      <c r="F13" s="53"/>
    </row>
    <row r="14" spans="1:6" ht="13.5" customHeight="1" thickBot="1">
      <c r="A14" s="51" t="s">
        <v>204</v>
      </c>
      <c r="D14" s="53">
        <f>EYSFF!R40</f>
        <v>0.29</v>
      </c>
      <c r="E14" s="53"/>
      <c r="F14" s="53"/>
    </row>
    <row r="15" spans="1:6" ht="13.5" thickBot="1">
      <c r="A15" s="48" t="s">
        <v>124</v>
      </c>
      <c r="D15" s="54">
        <f>SUM(D12:D14)</f>
        <v>5.7373689514272534</v>
      </c>
      <c r="E15" s="53"/>
      <c r="F15" s="53"/>
    </row>
    <row r="16" spans="4:6" ht="13.5" thickBot="1">
      <c r="D16" s="53"/>
      <c r="E16" s="53"/>
      <c r="F16" s="53"/>
    </row>
    <row r="17" spans="1:6" ht="13.5" thickBot="1">
      <c r="A17" s="48" t="s">
        <v>290</v>
      </c>
      <c r="D17" s="55">
        <f>EYSFF!H40</f>
        <v>58575</v>
      </c>
      <c r="E17" s="53"/>
      <c r="F17" s="53"/>
    </row>
    <row r="18" spans="1:6" ht="13.5" thickBot="1">
      <c r="A18" s="48" t="s">
        <v>291</v>
      </c>
      <c r="D18" s="55">
        <f>'EYSFF (Additional)'!H40</f>
        <v>14250</v>
      </c>
      <c r="E18" s="53"/>
      <c r="F18" s="53"/>
    </row>
    <row r="20" spans="1:6" ht="12.75">
      <c r="A20" s="48" t="s">
        <v>125</v>
      </c>
      <c r="F20" s="56">
        <f>D15*D17+D15*D18</f>
        <v>417823.8938876897</v>
      </c>
    </row>
    <row r="21" ht="13.5" thickBot="1"/>
    <row r="22" spans="1:6" ht="16.5" thickBot="1">
      <c r="A22" s="59" t="s">
        <v>126</v>
      </c>
      <c r="B22" s="60"/>
      <c r="C22" s="60"/>
      <c r="D22" s="60"/>
      <c r="E22" s="60"/>
      <c r="F22" s="58">
        <f>F9+F20</f>
        <v>656625.8938876897</v>
      </c>
    </row>
    <row r="23" ht="12.75">
      <c r="F23" s="53"/>
    </row>
    <row r="24" ht="13.5" thickBot="1"/>
    <row r="25" spans="1:4" ht="13.5" thickBot="1">
      <c r="A25" s="50" t="s">
        <v>218</v>
      </c>
      <c r="D25" s="214">
        <v>0</v>
      </c>
    </row>
    <row r="30" ht="12.75">
      <c r="A30" s="53"/>
    </row>
  </sheetData>
  <sheetProtection/>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X78"/>
  <sheetViews>
    <sheetView view="pageBreakPreview" zoomScale="90" zoomScaleNormal="110" zoomScaleSheetLayoutView="90" zoomScalePageLayoutView="0" workbookViewId="0" topLeftCell="A1">
      <pane ySplit="5" topLeftCell="A6" activePane="bottomLeft" state="frozen"/>
      <selection pane="topLeft" activeCell="B1" sqref="B1"/>
      <selection pane="bottomLeft" activeCell="U63" sqref="U63"/>
    </sheetView>
  </sheetViews>
  <sheetFormatPr defaultColWidth="9.140625" defaultRowHeight="12.75"/>
  <cols>
    <col min="1" max="1" width="5.57421875" style="10" bestFit="1" customWidth="1"/>
    <col min="2" max="2" width="55.00390625" style="10" customWidth="1"/>
    <col min="3" max="3" width="9.28125" style="10" customWidth="1"/>
    <col min="4" max="4" width="0.9921875" style="10" customWidth="1"/>
    <col min="5" max="5" width="14.7109375" style="10" customWidth="1"/>
    <col min="6" max="6" width="15.8515625" style="10" customWidth="1"/>
    <col min="7" max="7" width="14.7109375" style="106" customWidth="1"/>
    <col min="8" max="8" width="14.7109375" style="107" customWidth="1"/>
    <col min="9" max="9" width="2.8515625" style="107" customWidth="1"/>
    <col min="10" max="10" width="14.8515625" style="143" customWidth="1"/>
    <col min="11" max="11" width="14.8515625" style="10" customWidth="1"/>
    <col min="12" max="12" width="3.140625" style="10" customWidth="1"/>
    <col min="13" max="13" width="14.7109375" style="10" customWidth="1"/>
    <col min="14" max="14" width="12.421875" style="10" customWidth="1"/>
    <col min="15" max="15" width="14.28125" style="10" customWidth="1"/>
    <col min="16" max="16" width="2.8515625" style="10" customWidth="1"/>
    <col min="17" max="17" width="14.8515625" style="10" customWidth="1"/>
    <col min="18" max="18" width="14.8515625" style="103" customWidth="1"/>
    <col min="19" max="19" width="14.8515625" style="10" customWidth="1"/>
    <col min="20" max="20" width="1.8515625" style="10" customWidth="1"/>
    <col min="21" max="21" width="14.7109375" style="107" customWidth="1"/>
    <col min="22" max="22" width="16.140625" style="107" bestFit="1" customWidth="1"/>
    <col min="23" max="23" width="2.140625" style="10" customWidth="1"/>
    <col min="24" max="24" width="14.8515625" style="108" customWidth="1"/>
    <col min="25" max="25" width="3.57421875" style="10" customWidth="1"/>
    <col min="26" max="16384" width="9.140625" style="10" customWidth="1"/>
  </cols>
  <sheetData>
    <row r="1" spans="2:10" ht="21">
      <c r="B1" s="105" t="s">
        <v>274</v>
      </c>
      <c r="J1" s="107"/>
    </row>
    <row r="2" ht="15">
      <c r="J2" s="107"/>
    </row>
    <row r="3" spans="2:19" ht="15">
      <c r="B3" s="109"/>
      <c r="C3" s="110"/>
      <c r="E3" s="304" t="s">
        <v>237</v>
      </c>
      <c r="F3" s="305"/>
      <c r="G3" s="305"/>
      <c r="H3" s="306"/>
      <c r="J3" s="307" t="s">
        <v>160</v>
      </c>
      <c r="K3" s="308"/>
      <c r="M3" s="309" t="s">
        <v>161</v>
      </c>
      <c r="N3" s="309"/>
      <c r="O3" s="309"/>
      <c r="Q3" s="310" t="s">
        <v>162</v>
      </c>
      <c r="R3" s="311"/>
      <c r="S3" s="312"/>
    </row>
    <row r="4" spans="2:19" ht="15">
      <c r="B4" s="88"/>
      <c r="C4" s="98"/>
      <c r="E4" s="97"/>
      <c r="F4" s="96"/>
      <c r="G4" s="10" t="s">
        <v>163</v>
      </c>
      <c r="H4" s="111"/>
      <c r="J4" s="112"/>
      <c r="K4" s="113">
        <v>0.91</v>
      </c>
      <c r="M4" s="88"/>
      <c r="O4" s="201">
        <v>0.07</v>
      </c>
      <c r="Q4" s="97"/>
      <c r="R4" s="114"/>
      <c r="S4" s="113">
        <v>0.02</v>
      </c>
    </row>
    <row r="5" spans="2:24" s="95" customFormat="1" ht="30">
      <c r="B5" s="116" t="s">
        <v>116</v>
      </c>
      <c r="C5" s="117" t="s">
        <v>164</v>
      </c>
      <c r="E5" s="171" t="s">
        <v>272</v>
      </c>
      <c r="F5" s="171" t="s">
        <v>273</v>
      </c>
      <c r="G5" s="171" t="s">
        <v>275</v>
      </c>
      <c r="H5" s="119" t="s">
        <v>165</v>
      </c>
      <c r="I5" s="120"/>
      <c r="J5" s="170" t="s">
        <v>228</v>
      </c>
      <c r="K5" s="171" t="s">
        <v>229</v>
      </c>
      <c r="M5" s="118" t="s">
        <v>166</v>
      </c>
      <c r="N5" s="118" t="s">
        <v>231</v>
      </c>
      <c r="O5" s="171" t="s">
        <v>230</v>
      </c>
      <c r="Q5" s="118" t="s">
        <v>167</v>
      </c>
      <c r="R5" s="172" t="s">
        <v>232</v>
      </c>
      <c r="S5" s="171" t="s">
        <v>233</v>
      </c>
      <c r="U5" s="119" t="s">
        <v>234</v>
      </c>
      <c r="V5" s="119" t="s">
        <v>235</v>
      </c>
      <c r="X5" s="121" t="s">
        <v>236</v>
      </c>
    </row>
    <row r="6" spans="1:24" ht="15">
      <c r="A6" s="10">
        <v>2001</v>
      </c>
      <c r="B6" s="174" t="s">
        <v>154</v>
      </c>
      <c r="C6" s="293" t="s">
        <v>157</v>
      </c>
      <c r="D6" s="72"/>
      <c r="E6" s="165">
        <v>13065</v>
      </c>
      <c r="F6" s="165">
        <v>10530</v>
      </c>
      <c r="G6" s="164">
        <f>VLOOKUP(A6,'[3]Summary'!$A$2:$E$59,5,0)</f>
        <v>11160</v>
      </c>
      <c r="H6" s="168">
        <f>SUM(E6:G6)</f>
        <v>34755</v>
      </c>
      <c r="J6" s="124">
        <v>4.92</v>
      </c>
      <c r="K6" s="23">
        <f aca="true" t="shared" si="0" ref="K6:K63">J6*H6</f>
        <v>170994.6</v>
      </c>
      <c r="M6" s="169">
        <v>0.30678571428571416</v>
      </c>
      <c r="N6" s="21">
        <v>0.5626314759074708</v>
      </c>
      <c r="O6" s="21">
        <f>H6*N6</f>
        <v>19554.256945164147</v>
      </c>
      <c r="Q6" s="20" t="str">
        <f aca="true" t="shared" si="1" ref="Q6:Q37">IF(M6&gt;0.25,"Y","N")</f>
        <v>Y</v>
      </c>
      <c r="R6" s="23">
        <v>0.29</v>
      </c>
      <c r="S6" s="23">
        <f>H6*R6</f>
        <v>10078.949999999999</v>
      </c>
      <c r="U6" s="125">
        <f>J6+N6+R6</f>
        <v>5.77263147590747</v>
      </c>
      <c r="V6" s="125">
        <f>S6+O6+K6</f>
        <v>200627.80694516416</v>
      </c>
      <c r="X6" s="126"/>
    </row>
    <row r="7" spans="1:24" ht="15">
      <c r="A7" s="10">
        <v>3401</v>
      </c>
      <c r="B7" s="174" t="s">
        <v>32</v>
      </c>
      <c r="C7" s="293" t="s">
        <v>157</v>
      </c>
      <c r="D7" s="72"/>
      <c r="E7" s="165">
        <v>14430</v>
      </c>
      <c r="F7" s="165">
        <v>12285</v>
      </c>
      <c r="G7" s="164">
        <f>VLOOKUP(A7,'[3]Summary'!$A$2:$E$59,5,0)</f>
        <v>15480</v>
      </c>
      <c r="H7" s="168">
        <f aca="true" t="shared" si="2" ref="H7:H63">SUM(E7:G7)</f>
        <v>42195</v>
      </c>
      <c r="J7" s="124">
        <v>4.92</v>
      </c>
      <c r="K7" s="23">
        <f t="shared" si="0"/>
        <v>207599.4</v>
      </c>
      <c r="M7" s="169">
        <v>0.26847457627118637</v>
      </c>
      <c r="N7" s="21">
        <v>0.4923705376659526</v>
      </c>
      <c r="O7" s="21">
        <f aca="true" t="shared" si="3" ref="O7:O63">H7*N7</f>
        <v>20775.57483681487</v>
      </c>
      <c r="Q7" s="20" t="str">
        <f t="shared" si="1"/>
        <v>Y</v>
      </c>
      <c r="R7" s="23">
        <v>0.29</v>
      </c>
      <c r="S7" s="23">
        <f aca="true" t="shared" si="4" ref="S7:S63">H7*R7</f>
        <v>12236.55</v>
      </c>
      <c r="U7" s="125">
        <f aca="true" t="shared" si="5" ref="U7:U63">J7+N7+R7</f>
        <v>5.702370537665953</v>
      </c>
      <c r="V7" s="125">
        <f aca="true" t="shared" si="6" ref="V7:V63">S7+O7+K7</f>
        <v>240611.52483681485</v>
      </c>
      <c r="X7" s="126"/>
    </row>
    <row r="8" spans="1:24" ht="15">
      <c r="A8" s="10">
        <v>2003</v>
      </c>
      <c r="B8" s="174" t="s">
        <v>7</v>
      </c>
      <c r="C8" s="293" t="s">
        <v>157</v>
      </c>
      <c r="D8" s="72"/>
      <c r="E8" s="165">
        <v>7215</v>
      </c>
      <c r="F8" s="165">
        <v>5460</v>
      </c>
      <c r="G8" s="164">
        <f>VLOOKUP(A8,'[3]Summary'!$A$2:$E$59,5,0)</f>
        <v>6120</v>
      </c>
      <c r="H8" s="168">
        <f t="shared" si="2"/>
        <v>18795</v>
      </c>
      <c r="J8" s="124">
        <v>4.92</v>
      </c>
      <c r="K8" s="23">
        <f t="shared" si="0"/>
        <v>92471.4</v>
      </c>
      <c r="M8" s="169">
        <v>0.19150000000000011</v>
      </c>
      <c r="N8" s="21">
        <v>0.35120255806936684</v>
      </c>
      <c r="O8" s="21">
        <f t="shared" si="3"/>
        <v>6600.85207891375</v>
      </c>
      <c r="Q8" s="20" t="str">
        <f t="shared" si="1"/>
        <v>N</v>
      </c>
      <c r="R8" s="23">
        <v>0</v>
      </c>
      <c r="S8" s="23">
        <f t="shared" si="4"/>
        <v>0</v>
      </c>
      <c r="U8" s="125">
        <f t="shared" si="5"/>
        <v>5.271202558069366</v>
      </c>
      <c r="V8" s="125">
        <f t="shared" si="6"/>
        <v>99072.25207891375</v>
      </c>
      <c r="X8" s="126"/>
    </row>
    <row r="9" spans="1:24" ht="15">
      <c r="A9" s="10">
        <v>2004</v>
      </c>
      <c r="B9" s="128" t="s">
        <v>128</v>
      </c>
      <c r="C9" s="293" t="s">
        <v>157</v>
      </c>
      <c r="D9" s="72"/>
      <c r="E9" s="165">
        <v>12870</v>
      </c>
      <c r="F9" s="165">
        <v>9360</v>
      </c>
      <c r="G9" s="164">
        <f>VLOOKUP(A9,'[3]Summary'!$A$2:$E$59,5,0)</f>
        <v>9000</v>
      </c>
      <c r="H9" s="168">
        <f t="shared" si="2"/>
        <v>31230</v>
      </c>
      <c r="J9" s="124">
        <v>4.92</v>
      </c>
      <c r="K9" s="23">
        <f t="shared" si="0"/>
        <v>153651.6</v>
      </c>
      <c r="M9" s="169">
        <v>0.06736263736263735</v>
      </c>
      <c r="N9" s="21">
        <v>0.12354010736322366</v>
      </c>
      <c r="O9" s="21">
        <f t="shared" si="3"/>
        <v>3858.157552953475</v>
      </c>
      <c r="Q9" s="20" t="str">
        <f t="shared" si="1"/>
        <v>N</v>
      </c>
      <c r="R9" s="23">
        <v>0</v>
      </c>
      <c r="S9" s="23">
        <f t="shared" si="4"/>
        <v>0</v>
      </c>
      <c r="U9" s="125">
        <f t="shared" si="5"/>
        <v>5.043540107363223</v>
      </c>
      <c r="V9" s="125">
        <f t="shared" si="6"/>
        <v>157509.7575529535</v>
      </c>
      <c r="X9" s="126"/>
    </row>
    <row r="10" spans="1:24" ht="15">
      <c r="A10" s="72">
        <v>2002</v>
      </c>
      <c r="B10" s="174" t="s">
        <v>147</v>
      </c>
      <c r="C10" s="293" t="s">
        <v>157</v>
      </c>
      <c r="D10" s="72"/>
      <c r="E10" s="165">
        <v>10725</v>
      </c>
      <c r="F10" s="165">
        <v>5460</v>
      </c>
      <c r="G10" s="164">
        <f>VLOOKUP(A10,'[3]Summary'!$A$2:$E$59,5,0)</f>
        <v>7560</v>
      </c>
      <c r="H10" s="168">
        <f t="shared" si="2"/>
        <v>23745</v>
      </c>
      <c r="J10" s="124">
        <v>4.92</v>
      </c>
      <c r="K10" s="23">
        <f t="shared" si="0"/>
        <v>116825.4</v>
      </c>
      <c r="M10" s="169">
        <v>0.3086842105263157</v>
      </c>
      <c r="N10" s="21">
        <v>0.566113234320966</v>
      </c>
      <c r="O10" s="21">
        <f t="shared" si="3"/>
        <v>13442.35874895134</v>
      </c>
      <c r="Q10" s="20" t="str">
        <f t="shared" si="1"/>
        <v>Y</v>
      </c>
      <c r="R10" s="23">
        <v>0.29</v>
      </c>
      <c r="S10" s="23">
        <f t="shared" si="4"/>
        <v>6886.049999999999</v>
      </c>
      <c r="U10" s="125">
        <f t="shared" si="5"/>
        <v>5.776113234320966</v>
      </c>
      <c r="V10" s="125">
        <f t="shared" si="6"/>
        <v>137153.80874895133</v>
      </c>
      <c r="X10" s="126"/>
    </row>
    <row r="11" spans="1:24" ht="15">
      <c r="A11" s="72">
        <v>3300</v>
      </c>
      <c r="B11" s="174" t="s">
        <v>98</v>
      </c>
      <c r="C11" s="293" t="s">
        <v>157</v>
      </c>
      <c r="D11" s="72"/>
      <c r="E11" s="165">
        <v>6240</v>
      </c>
      <c r="F11" s="165">
        <v>5265</v>
      </c>
      <c r="G11" s="164">
        <f>VLOOKUP(A11,'[3]Summary'!$A$2:$E$59,5,0)</f>
        <v>4500</v>
      </c>
      <c r="H11" s="168">
        <f t="shared" si="2"/>
        <v>16005</v>
      </c>
      <c r="J11" s="124">
        <v>4.92</v>
      </c>
      <c r="K11" s="23">
        <f t="shared" si="0"/>
        <v>78744.6</v>
      </c>
      <c r="M11" s="169">
        <v>0.14106382978723406</v>
      </c>
      <c r="N11" s="21">
        <v>0.25870484528636195</v>
      </c>
      <c r="O11" s="21">
        <f t="shared" si="3"/>
        <v>4140.571048808223</v>
      </c>
      <c r="Q11" s="20" t="str">
        <f t="shared" si="1"/>
        <v>N</v>
      </c>
      <c r="R11" s="23">
        <v>0</v>
      </c>
      <c r="S11" s="23">
        <f t="shared" si="4"/>
        <v>0</v>
      </c>
      <c r="U11" s="125">
        <f t="shared" si="5"/>
        <v>5.1787048452863615</v>
      </c>
      <c r="V11" s="125">
        <f t="shared" si="6"/>
        <v>82885.17104880823</v>
      </c>
      <c r="X11" s="126"/>
    </row>
    <row r="12" spans="1:24" ht="15">
      <c r="A12" s="72">
        <v>5206</v>
      </c>
      <c r="B12" s="174" t="s">
        <v>42</v>
      </c>
      <c r="C12" s="293" t="s">
        <v>157</v>
      </c>
      <c r="D12" s="72"/>
      <c r="E12" s="165">
        <v>16575</v>
      </c>
      <c r="F12" s="165">
        <v>8385</v>
      </c>
      <c r="G12" s="164">
        <f>VLOOKUP(A12,'[3]Summary'!$A$2:$E$59,5,0)</f>
        <v>11520</v>
      </c>
      <c r="H12" s="168">
        <f t="shared" si="2"/>
        <v>36480</v>
      </c>
      <c r="J12" s="124">
        <v>4.92</v>
      </c>
      <c r="K12" s="23">
        <f t="shared" si="0"/>
        <v>179481.6</v>
      </c>
      <c r="M12" s="169">
        <v>0.2551020408163266</v>
      </c>
      <c r="N12" s="21">
        <v>0.4678458971457435</v>
      </c>
      <c r="O12" s="21">
        <f t="shared" si="3"/>
        <v>17067.01832787672</v>
      </c>
      <c r="Q12" s="20" t="str">
        <f t="shared" si="1"/>
        <v>Y</v>
      </c>
      <c r="R12" s="23">
        <v>0.29</v>
      </c>
      <c r="S12" s="23">
        <f t="shared" si="4"/>
        <v>10579.199999999999</v>
      </c>
      <c r="U12" s="125">
        <f t="shared" si="5"/>
        <v>5.677845897145743</v>
      </c>
      <c r="V12" s="125">
        <f t="shared" si="6"/>
        <v>207127.81832787674</v>
      </c>
      <c r="X12" s="126"/>
    </row>
    <row r="13" spans="1:24" ht="15">
      <c r="A13" s="72">
        <v>2084</v>
      </c>
      <c r="B13" s="174" t="s">
        <v>29</v>
      </c>
      <c r="C13" s="293" t="s">
        <v>157</v>
      </c>
      <c r="D13" s="72"/>
      <c r="E13" s="165">
        <v>13260</v>
      </c>
      <c r="F13" s="165">
        <v>11310</v>
      </c>
      <c r="G13" s="164">
        <f>VLOOKUP(A13,'[3]Summary'!$A$2:$E$59,5,0)</f>
        <v>12240</v>
      </c>
      <c r="H13" s="168">
        <f t="shared" si="2"/>
        <v>36810</v>
      </c>
      <c r="J13" s="124">
        <v>4.92</v>
      </c>
      <c r="K13" s="23">
        <f t="shared" si="0"/>
        <v>181105.2</v>
      </c>
      <c r="M13" s="169">
        <v>0.295966386554622</v>
      </c>
      <c r="N13" s="21">
        <v>0.5427893057991136</v>
      </c>
      <c r="O13" s="21">
        <f t="shared" si="3"/>
        <v>19980.07434646537</v>
      </c>
      <c r="Q13" s="20" t="str">
        <f t="shared" si="1"/>
        <v>Y</v>
      </c>
      <c r="R13" s="23">
        <v>0.29</v>
      </c>
      <c r="S13" s="23">
        <f t="shared" si="4"/>
        <v>10674.9</v>
      </c>
      <c r="U13" s="125">
        <f t="shared" si="5"/>
        <v>5.752789305799113</v>
      </c>
      <c r="V13" s="125">
        <f t="shared" si="6"/>
        <v>211760.17434646538</v>
      </c>
      <c r="X13" s="126"/>
    </row>
    <row r="14" spans="1:24" ht="15">
      <c r="A14" s="10">
        <v>2010</v>
      </c>
      <c r="B14" s="174" t="s">
        <v>8</v>
      </c>
      <c r="C14" s="293" t="s">
        <v>157</v>
      </c>
      <c r="D14" s="72"/>
      <c r="E14" s="165">
        <v>13065</v>
      </c>
      <c r="F14" s="165">
        <v>11895</v>
      </c>
      <c r="G14" s="164">
        <f>VLOOKUP(A14,'[3]Summary'!$A$2:$E$59,5,0)</f>
        <v>11340</v>
      </c>
      <c r="H14" s="168">
        <f t="shared" si="2"/>
        <v>36300</v>
      </c>
      <c r="J14" s="124">
        <v>4.92</v>
      </c>
      <c r="K14" s="23">
        <f t="shared" si="0"/>
        <v>178596</v>
      </c>
      <c r="M14" s="169">
        <v>0.2758999999999998</v>
      </c>
      <c r="N14" s="21">
        <v>0.5059884374482412</v>
      </c>
      <c r="O14" s="21">
        <f t="shared" si="3"/>
        <v>18367.380279371155</v>
      </c>
      <c r="Q14" s="20" t="str">
        <f t="shared" si="1"/>
        <v>Y</v>
      </c>
      <c r="R14" s="23">
        <v>0.29</v>
      </c>
      <c r="S14" s="23">
        <f t="shared" si="4"/>
        <v>10527</v>
      </c>
      <c r="U14" s="125">
        <f t="shared" si="5"/>
        <v>5.7159884374482415</v>
      </c>
      <c r="V14" s="125">
        <f t="shared" si="6"/>
        <v>207490.38027937117</v>
      </c>
      <c r="X14" s="126"/>
    </row>
    <row r="15" spans="1:24" ht="15">
      <c r="A15" s="10">
        <v>2012</v>
      </c>
      <c r="B15" s="174" t="s">
        <v>10</v>
      </c>
      <c r="C15" s="293" t="s">
        <v>157</v>
      </c>
      <c r="D15" s="72"/>
      <c r="E15" s="165">
        <v>12090</v>
      </c>
      <c r="F15" s="165">
        <v>9555</v>
      </c>
      <c r="G15" s="164">
        <f>VLOOKUP(A15,'[3]Summary'!$A$2:$E$59,5,0)</f>
        <v>10080</v>
      </c>
      <c r="H15" s="168">
        <f t="shared" si="2"/>
        <v>31725</v>
      </c>
      <c r="J15" s="124">
        <v>4.92</v>
      </c>
      <c r="K15" s="23">
        <f t="shared" si="0"/>
        <v>156087</v>
      </c>
      <c r="M15" s="169">
        <v>0.15199999999999983</v>
      </c>
      <c r="N15" s="21">
        <v>0.27876129935531946</v>
      </c>
      <c r="O15" s="21">
        <f t="shared" si="3"/>
        <v>8843.70222204751</v>
      </c>
      <c r="Q15" s="20" t="str">
        <f t="shared" si="1"/>
        <v>N</v>
      </c>
      <c r="R15" s="23">
        <v>0</v>
      </c>
      <c r="S15" s="23">
        <f t="shared" si="4"/>
        <v>0</v>
      </c>
      <c r="U15" s="125">
        <f t="shared" si="5"/>
        <v>5.198761299355319</v>
      </c>
      <c r="V15" s="125">
        <f t="shared" si="6"/>
        <v>164930.70222204752</v>
      </c>
      <c r="X15" s="126"/>
    </row>
    <row r="16" spans="1:24" ht="15">
      <c r="A16" s="72">
        <v>3410</v>
      </c>
      <c r="B16" s="129" t="s">
        <v>129</v>
      </c>
      <c r="C16" s="293" t="s">
        <v>157</v>
      </c>
      <c r="D16" s="72"/>
      <c r="E16" s="165">
        <v>6630</v>
      </c>
      <c r="F16" s="165">
        <v>7215</v>
      </c>
      <c r="G16" s="164">
        <f>VLOOKUP(A16,'[3]Summary'!$A$2:$E$59,5,0)</f>
        <v>7020</v>
      </c>
      <c r="H16" s="168">
        <f t="shared" si="2"/>
        <v>20865</v>
      </c>
      <c r="J16" s="124">
        <v>4.92</v>
      </c>
      <c r="K16" s="23">
        <f t="shared" si="0"/>
        <v>102655.8</v>
      </c>
      <c r="M16" s="169">
        <v>0.25600000000000006</v>
      </c>
      <c r="N16" s="21">
        <v>0.4694927147036965</v>
      </c>
      <c r="O16" s="21">
        <f t="shared" si="3"/>
        <v>9795.965492292627</v>
      </c>
      <c r="Q16" s="20" t="str">
        <f t="shared" si="1"/>
        <v>Y</v>
      </c>
      <c r="R16" s="23">
        <v>0.29</v>
      </c>
      <c r="S16" s="23">
        <f t="shared" si="4"/>
        <v>6050.849999999999</v>
      </c>
      <c r="U16" s="125">
        <f t="shared" si="5"/>
        <v>5.679492714703697</v>
      </c>
      <c r="V16" s="125">
        <f t="shared" si="6"/>
        <v>118502.61549229262</v>
      </c>
      <c r="X16" s="126"/>
    </row>
    <row r="17" spans="1:24" ht="15">
      <c r="A17" s="72">
        <v>2078</v>
      </c>
      <c r="B17" s="174" t="s">
        <v>201</v>
      </c>
      <c r="C17" s="293" t="s">
        <v>157</v>
      </c>
      <c r="D17" s="72"/>
      <c r="E17" s="165">
        <v>22425</v>
      </c>
      <c r="F17" s="165">
        <v>20475</v>
      </c>
      <c r="G17" s="164">
        <f>VLOOKUP(A17,'[3]Summary'!$A$2:$E$59,5,0)</f>
        <v>18900</v>
      </c>
      <c r="H17" s="168">
        <f t="shared" si="2"/>
        <v>61800</v>
      </c>
      <c r="J17" s="124">
        <v>4.92</v>
      </c>
      <c r="K17" s="23">
        <f t="shared" si="0"/>
        <v>304056</v>
      </c>
      <c r="M17" s="169">
        <v>0.2804545454545454</v>
      </c>
      <c r="N17" s="21">
        <v>0.514341273032991</v>
      </c>
      <c r="O17" s="21">
        <f t="shared" si="3"/>
        <v>31786.290673438845</v>
      </c>
      <c r="Q17" s="20" t="str">
        <f t="shared" si="1"/>
        <v>Y</v>
      </c>
      <c r="R17" s="23">
        <v>0.29</v>
      </c>
      <c r="S17" s="23">
        <f t="shared" si="4"/>
        <v>17922</v>
      </c>
      <c r="U17" s="125">
        <f t="shared" si="5"/>
        <v>5.724341273032991</v>
      </c>
      <c r="V17" s="125">
        <f t="shared" si="6"/>
        <v>353764.29067343887</v>
      </c>
      <c r="X17" s="126"/>
    </row>
    <row r="18" spans="1:24" ht="15">
      <c r="A18" s="10">
        <v>2016</v>
      </c>
      <c r="B18" s="174" t="s">
        <v>11</v>
      </c>
      <c r="C18" s="293" t="s">
        <v>157</v>
      </c>
      <c r="D18" s="72"/>
      <c r="E18" s="165">
        <v>16185</v>
      </c>
      <c r="F18" s="165">
        <v>12090</v>
      </c>
      <c r="G18" s="164">
        <f>VLOOKUP(A18,'[3]Summary'!$A$2:$E$59,5,0)</f>
        <v>14760</v>
      </c>
      <c r="H18" s="168">
        <f t="shared" si="2"/>
        <v>43035</v>
      </c>
      <c r="J18" s="124">
        <v>4.92</v>
      </c>
      <c r="K18" s="23">
        <f t="shared" si="0"/>
        <v>211732.19999999998</v>
      </c>
      <c r="M18" s="169">
        <v>0.16814516129032267</v>
      </c>
      <c r="N18" s="21">
        <v>0.30837081343157996</v>
      </c>
      <c r="O18" s="21">
        <f t="shared" si="3"/>
        <v>13270.737956028044</v>
      </c>
      <c r="Q18" s="20" t="str">
        <f t="shared" si="1"/>
        <v>N</v>
      </c>
      <c r="R18" s="23">
        <v>0</v>
      </c>
      <c r="S18" s="23">
        <f t="shared" si="4"/>
        <v>0</v>
      </c>
      <c r="U18" s="125">
        <f t="shared" si="5"/>
        <v>5.22837081343158</v>
      </c>
      <c r="V18" s="125">
        <f t="shared" si="6"/>
        <v>225002.93795602804</v>
      </c>
      <c r="X18" s="126"/>
    </row>
    <row r="19" spans="1:24" ht="15">
      <c r="A19" s="72">
        <v>3307</v>
      </c>
      <c r="B19" s="174" t="s">
        <v>31</v>
      </c>
      <c r="C19" s="293" t="s">
        <v>157</v>
      </c>
      <c r="D19" s="72"/>
      <c r="E19" s="165">
        <v>10725</v>
      </c>
      <c r="F19" s="165">
        <v>7995</v>
      </c>
      <c r="G19" s="164">
        <f>VLOOKUP(A19,'[3]Summary'!$A$2:$E$59,5,0)</f>
        <v>7920</v>
      </c>
      <c r="H19" s="168">
        <f t="shared" si="2"/>
        <v>26640</v>
      </c>
      <c r="J19" s="124">
        <v>4.92</v>
      </c>
      <c r="K19" s="23">
        <f t="shared" si="0"/>
        <v>131068.8</v>
      </c>
      <c r="M19" s="169">
        <v>0.26785714285714296</v>
      </c>
      <c r="N19" s="21">
        <v>0.4912381920030307</v>
      </c>
      <c r="O19" s="21">
        <f t="shared" si="3"/>
        <v>13086.585434960738</v>
      </c>
      <c r="Q19" s="20" t="str">
        <f t="shared" si="1"/>
        <v>Y</v>
      </c>
      <c r="R19" s="23">
        <v>0.29</v>
      </c>
      <c r="S19" s="23">
        <f t="shared" si="4"/>
        <v>7725.599999999999</v>
      </c>
      <c r="U19" s="125">
        <f t="shared" si="5"/>
        <v>5.70123819200303</v>
      </c>
      <c r="V19" s="125">
        <f t="shared" si="6"/>
        <v>151880.98543496075</v>
      </c>
      <c r="X19" s="126"/>
    </row>
    <row r="20" spans="1:24" ht="15">
      <c r="A20" s="10">
        <v>2019</v>
      </c>
      <c r="B20" s="174" t="s">
        <v>156</v>
      </c>
      <c r="C20" s="293" t="s">
        <v>157</v>
      </c>
      <c r="D20" s="72"/>
      <c r="E20" s="165">
        <v>23595</v>
      </c>
      <c r="F20" s="165">
        <v>15990</v>
      </c>
      <c r="G20" s="164">
        <f>VLOOKUP(A20,'[3]Summary'!$A$2:$E$59,5,0)</f>
        <v>15840</v>
      </c>
      <c r="H20" s="168">
        <f t="shared" si="2"/>
        <v>55425</v>
      </c>
      <c r="J20" s="124">
        <v>4.92</v>
      </c>
      <c r="K20" s="23">
        <f t="shared" si="0"/>
        <v>272691</v>
      </c>
      <c r="M20" s="169">
        <v>0.1444444444444445</v>
      </c>
      <c r="N20" s="21">
        <v>0.2649047435394121</v>
      </c>
      <c r="O20" s="21">
        <f t="shared" si="3"/>
        <v>14682.345410671916</v>
      </c>
      <c r="Q20" s="20" t="str">
        <f t="shared" si="1"/>
        <v>N</v>
      </c>
      <c r="R20" s="23">
        <v>0</v>
      </c>
      <c r="S20" s="23">
        <f t="shared" si="4"/>
        <v>0</v>
      </c>
      <c r="U20" s="125">
        <f t="shared" si="5"/>
        <v>5.184904743539412</v>
      </c>
      <c r="V20" s="125">
        <f t="shared" si="6"/>
        <v>287373.3454106719</v>
      </c>
      <c r="X20" s="126"/>
    </row>
    <row r="21" spans="1:24" ht="15">
      <c r="A21" s="10">
        <v>2076</v>
      </c>
      <c r="B21" s="174" t="s">
        <v>26</v>
      </c>
      <c r="C21" s="293" t="s">
        <v>157</v>
      </c>
      <c r="D21" s="72"/>
      <c r="E21" s="165">
        <v>5655</v>
      </c>
      <c r="F21" s="165">
        <v>5265</v>
      </c>
      <c r="G21" s="164">
        <f>VLOOKUP(A21,'[3]Summary'!$A$2:$E$59,5,0)</f>
        <v>5220</v>
      </c>
      <c r="H21" s="168">
        <f t="shared" si="2"/>
        <v>16140</v>
      </c>
      <c r="J21" s="124">
        <v>4.92</v>
      </c>
      <c r="K21" s="23">
        <f t="shared" si="0"/>
        <v>79408.8</v>
      </c>
      <c r="M21" s="169">
        <v>0.12509433962264155</v>
      </c>
      <c r="N21" s="21">
        <v>0.22941750431054744</v>
      </c>
      <c r="O21" s="21">
        <f t="shared" si="3"/>
        <v>3702.798519572236</v>
      </c>
      <c r="Q21" s="20" t="str">
        <f t="shared" si="1"/>
        <v>N</v>
      </c>
      <c r="R21" s="23">
        <v>0</v>
      </c>
      <c r="S21" s="23">
        <f t="shared" si="4"/>
        <v>0</v>
      </c>
      <c r="U21" s="125">
        <f t="shared" si="5"/>
        <v>5.149417504310548</v>
      </c>
      <c r="V21" s="125">
        <f t="shared" si="6"/>
        <v>83111.59851957223</v>
      </c>
      <c r="X21" s="126"/>
    </row>
    <row r="22" spans="1:24" ht="15">
      <c r="A22" s="72">
        <v>2020</v>
      </c>
      <c r="B22" s="174" t="s">
        <v>13</v>
      </c>
      <c r="C22" s="293" t="s">
        <v>157</v>
      </c>
      <c r="D22" s="72"/>
      <c r="E22" s="165">
        <v>10335</v>
      </c>
      <c r="F22" s="165">
        <v>9555</v>
      </c>
      <c r="G22" s="164">
        <f>VLOOKUP(A22,'[3]Summary'!$A$2:$E$59,5,0)</f>
        <v>8820</v>
      </c>
      <c r="H22" s="168">
        <f t="shared" si="2"/>
        <v>28710</v>
      </c>
      <c r="J22" s="124">
        <v>4.92</v>
      </c>
      <c r="K22" s="23">
        <f t="shared" si="0"/>
        <v>141253.2</v>
      </c>
      <c r="M22" s="169">
        <v>0.1085227272727273</v>
      </c>
      <c r="N22" s="21">
        <v>0.1990258977903188</v>
      </c>
      <c r="O22" s="21">
        <f t="shared" si="3"/>
        <v>5714.033525560052</v>
      </c>
      <c r="Q22" s="20" t="str">
        <f t="shared" si="1"/>
        <v>N</v>
      </c>
      <c r="R22" s="23">
        <v>0</v>
      </c>
      <c r="S22" s="23">
        <f t="shared" si="4"/>
        <v>0</v>
      </c>
      <c r="U22" s="125">
        <f t="shared" si="5"/>
        <v>5.119025897790319</v>
      </c>
      <c r="V22" s="125">
        <f t="shared" si="6"/>
        <v>146967.23352556006</v>
      </c>
      <c r="X22" s="126"/>
    </row>
    <row r="23" spans="1:24" ht="15">
      <c r="A23" s="72">
        <v>5203</v>
      </c>
      <c r="B23" s="174" t="s">
        <v>134</v>
      </c>
      <c r="C23" s="293" t="s">
        <v>157</v>
      </c>
      <c r="D23" s="72"/>
      <c r="E23" s="165">
        <v>20865</v>
      </c>
      <c r="F23" s="165">
        <v>15210</v>
      </c>
      <c r="G23" s="164">
        <f>VLOOKUP(A23,'[3]Summary'!$A$2:$E$59,5,0)</f>
        <v>15480</v>
      </c>
      <c r="H23" s="168">
        <f t="shared" si="2"/>
        <v>51555</v>
      </c>
      <c r="J23" s="124">
        <v>4.92</v>
      </c>
      <c r="K23" s="23">
        <f t="shared" si="0"/>
        <v>253650.6</v>
      </c>
      <c r="M23" s="169">
        <v>0.23193103448275867</v>
      </c>
      <c r="N23" s="21">
        <v>0.42535129298182417</v>
      </c>
      <c r="O23" s="21">
        <f t="shared" si="3"/>
        <v>21928.985909677944</v>
      </c>
      <c r="Q23" s="20" t="str">
        <f t="shared" si="1"/>
        <v>N</v>
      </c>
      <c r="R23" s="23">
        <v>0</v>
      </c>
      <c r="S23" s="23">
        <f t="shared" si="4"/>
        <v>0</v>
      </c>
      <c r="U23" s="125">
        <f t="shared" si="5"/>
        <v>5.3453512929818245</v>
      </c>
      <c r="V23" s="125">
        <f t="shared" si="6"/>
        <v>275579.58590967796</v>
      </c>
      <c r="X23" s="126"/>
    </row>
    <row r="24" spans="1:24" ht="15">
      <c r="A24" s="72">
        <v>4654</v>
      </c>
      <c r="B24" s="128" t="s">
        <v>47</v>
      </c>
      <c r="C24" s="293" t="s">
        <v>157</v>
      </c>
      <c r="D24" s="72"/>
      <c r="E24" s="165">
        <v>11700</v>
      </c>
      <c r="F24" s="165">
        <v>10335</v>
      </c>
      <c r="G24" s="164">
        <f>VLOOKUP(A24,'[3]Summary'!$A$2:$E$59,5,0)</f>
        <v>9720</v>
      </c>
      <c r="H24" s="168">
        <f t="shared" si="2"/>
        <v>31755</v>
      </c>
      <c r="J24" s="124">
        <v>4.92</v>
      </c>
      <c r="K24" s="23">
        <f t="shared" si="0"/>
        <v>156234.6</v>
      </c>
      <c r="M24" s="20">
        <v>0.24804347826086953</v>
      </c>
      <c r="N24" s="21">
        <v>0.45490080458298027</v>
      </c>
      <c r="O24" s="21">
        <f t="shared" si="3"/>
        <v>14445.375049532538</v>
      </c>
      <c r="Q24" s="20" t="str">
        <f t="shared" si="1"/>
        <v>N</v>
      </c>
      <c r="R24" s="23">
        <v>0</v>
      </c>
      <c r="S24" s="23">
        <f t="shared" si="4"/>
        <v>0</v>
      </c>
      <c r="U24" s="125">
        <f t="shared" si="5"/>
        <v>5.37490080458298</v>
      </c>
      <c r="V24" s="125">
        <f t="shared" si="6"/>
        <v>170679.97504953254</v>
      </c>
      <c r="X24" s="126"/>
    </row>
    <row r="25" spans="1:24" ht="15">
      <c r="A25" s="72">
        <v>2024</v>
      </c>
      <c r="B25" s="174" t="s">
        <v>87</v>
      </c>
      <c r="C25" s="293" t="s">
        <v>157</v>
      </c>
      <c r="D25" s="72"/>
      <c r="E25" s="165">
        <v>10335</v>
      </c>
      <c r="F25" s="165">
        <v>9945</v>
      </c>
      <c r="G25" s="164">
        <f>VLOOKUP(A25,'[3]Summary'!$A$2:$E$59,5,0)</f>
        <v>10980</v>
      </c>
      <c r="H25" s="168">
        <f t="shared" si="2"/>
        <v>31260</v>
      </c>
      <c r="J25" s="124">
        <v>4.92</v>
      </c>
      <c r="K25" s="23">
        <f t="shared" si="0"/>
        <v>153799.2</v>
      </c>
      <c r="M25" s="20">
        <v>0.1832926829268291</v>
      </c>
      <c r="N25" s="21">
        <v>0.33615070036187833</v>
      </c>
      <c r="O25" s="21">
        <f t="shared" si="3"/>
        <v>10508.070893312317</v>
      </c>
      <c r="Q25" s="20" t="str">
        <f t="shared" si="1"/>
        <v>N</v>
      </c>
      <c r="R25" s="23">
        <v>0</v>
      </c>
      <c r="S25" s="23">
        <f t="shared" si="4"/>
        <v>0</v>
      </c>
      <c r="U25" s="125">
        <f t="shared" si="5"/>
        <v>5.256150700361879</v>
      </c>
      <c r="V25" s="125">
        <f t="shared" si="6"/>
        <v>164307.27089331232</v>
      </c>
      <c r="X25" s="126"/>
    </row>
    <row r="26" spans="1:24" ht="15">
      <c r="A26" s="72">
        <v>2025</v>
      </c>
      <c r="B26" s="174" t="s">
        <v>88</v>
      </c>
      <c r="C26" s="293" t="s">
        <v>157</v>
      </c>
      <c r="D26" s="72"/>
      <c r="E26" s="165">
        <v>10530</v>
      </c>
      <c r="F26" s="165">
        <v>7410</v>
      </c>
      <c r="G26" s="164">
        <f>VLOOKUP(A26,'[3]Summary'!$A$2:$E$59,5,0)</f>
        <v>9180</v>
      </c>
      <c r="H26" s="168">
        <f t="shared" si="2"/>
        <v>27120</v>
      </c>
      <c r="J26" s="124">
        <v>4.92</v>
      </c>
      <c r="K26" s="23">
        <f t="shared" si="0"/>
        <v>133430.4</v>
      </c>
      <c r="M26" s="20">
        <v>0.14842105263157893</v>
      </c>
      <c r="N26" s="21">
        <v>0.2721976676530476</v>
      </c>
      <c r="O26" s="21">
        <f t="shared" si="3"/>
        <v>7382.000746750651</v>
      </c>
      <c r="Q26" s="20" t="str">
        <f t="shared" si="1"/>
        <v>N</v>
      </c>
      <c r="R26" s="23">
        <v>0</v>
      </c>
      <c r="S26" s="23">
        <f t="shared" si="4"/>
        <v>0</v>
      </c>
      <c r="U26" s="125">
        <f t="shared" si="5"/>
        <v>5.192197667653048</v>
      </c>
      <c r="V26" s="125">
        <f t="shared" si="6"/>
        <v>140812.40074675065</v>
      </c>
      <c r="X26" s="126"/>
    </row>
    <row r="27" spans="1:24" ht="15">
      <c r="A27" s="72">
        <v>2026</v>
      </c>
      <c r="B27" s="174" t="s">
        <v>89</v>
      </c>
      <c r="C27" s="293" t="s">
        <v>157</v>
      </c>
      <c r="D27" s="72"/>
      <c r="E27" s="165">
        <v>4290</v>
      </c>
      <c r="F27" s="165">
        <v>3510</v>
      </c>
      <c r="G27" s="164">
        <f>VLOOKUP(A27,'[3]Summary'!$A$2:$E$59,5,0)</f>
        <v>4140</v>
      </c>
      <c r="H27" s="168">
        <f t="shared" si="2"/>
        <v>11940</v>
      </c>
      <c r="J27" s="124">
        <v>4.92</v>
      </c>
      <c r="K27" s="23">
        <f t="shared" si="0"/>
        <v>58744.799999999996</v>
      </c>
      <c r="M27" s="20">
        <v>0.2607317073170731</v>
      </c>
      <c r="N27" s="21">
        <v>0.47817045733446206</v>
      </c>
      <c r="O27" s="21">
        <f t="shared" si="3"/>
        <v>5709.355260573477</v>
      </c>
      <c r="Q27" s="20" t="str">
        <f t="shared" si="1"/>
        <v>Y</v>
      </c>
      <c r="R27" s="23">
        <v>0.29</v>
      </c>
      <c r="S27" s="23">
        <f t="shared" si="4"/>
        <v>3462.6</v>
      </c>
      <c r="U27" s="125">
        <f t="shared" si="5"/>
        <v>5.688170457334462</v>
      </c>
      <c r="V27" s="125">
        <f t="shared" si="6"/>
        <v>67916.75526057347</v>
      </c>
      <c r="X27" s="126"/>
    </row>
    <row r="28" spans="1:24" ht="15">
      <c r="A28" s="72">
        <v>5211</v>
      </c>
      <c r="B28" s="129" t="s">
        <v>43</v>
      </c>
      <c r="C28" s="293" t="s">
        <v>157</v>
      </c>
      <c r="D28" s="72"/>
      <c r="E28" s="165">
        <v>17355</v>
      </c>
      <c r="F28" s="165">
        <v>14040</v>
      </c>
      <c r="G28" s="164">
        <f>VLOOKUP(A28,'[3]Summary'!$A$2:$E$59,5,0)</f>
        <v>14400</v>
      </c>
      <c r="H28" s="168">
        <f t="shared" si="2"/>
        <v>45795</v>
      </c>
      <c r="J28" s="124">
        <v>4.92</v>
      </c>
      <c r="K28" s="23">
        <f t="shared" si="0"/>
        <v>225311.4</v>
      </c>
      <c r="M28" s="20">
        <v>0.20552238805970174</v>
      </c>
      <c r="N28" s="21">
        <v>0.376918999619281</v>
      </c>
      <c r="O28" s="21">
        <f t="shared" si="3"/>
        <v>17261.005587564974</v>
      </c>
      <c r="Q28" s="20" t="str">
        <f t="shared" si="1"/>
        <v>N</v>
      </c>
      <c r="R28" s="23">
        <v>0</v>
      </c>
      <c r="S28" s="23">
        <f t="shared" si="4"/>
        <v>0</v>
      </c>
      <c r="U28" s="125">
        <f t="shared" si="5"/>
        <v>5.296918999619281</v>
      </c>
      <c r="V28" s="125">
        <f t="shared" si="6"/>
        <v>242572.40558756498</v>
      </c>
      <c r="X28" s="126"/>
    </row>
    <row r="29" spans="1:24" ht="15">
      <c r="A29" s="72">
        <v>2029</v>
      </c>
      <c r="B29" s="174" t="s">
        <v>90</v>
      </c>
      <c r="C29" s="293" t="s">
        <v>157</v>
      </c>
      <c r="D29" s="72"/>
      <c r="E29" s="165">
        <v>8970</v>
      </c>
      <c r="F29" s="165">
        <v>7020</v>
      </c>
      <c r="G29" s="164">
        <f>VLOOKUP(A29,'[3]Summary'!$A$2:$E$59,5,0)</f>
        <v>6840</v>
      </c>
      <c r="H29" s="168">
        <f t="shared" si="2"/>
        <v>22830</v>
      </c>
      <c r="J29" s="124">
        <v>4.92</v>
      </c>
      <c r="K29" s="23">
        <f t="shared" si="0"/>
        <v>112323.59999999999</v>
      </c>
      <c r="M29" s="20">
        <v>0.21086956521739134</v>
      </c>
      <c r="N29" s="21">
        <v>0.3867254868058641</v>
      </c>
      <c r="O29" s="21">
        <f t="shared" si="3"/>
        <v>8828.942863777878</v>
      </c>
      <c r="Q29" s="20" t="str">
        <f t="shared" si="1"/>
        <v>N</v>
      </c>
      <c r="R29" s="23">
        <v>0</v>
      </c>
      <c r="S29" s="23">
        <f t="shared" si="4"/>
        <v>0</v>
      </c>
      <c r="U29" s="125">
        <f t="shared" si="5"/>
        <v>5.306725486805864</v>
      </c>
      <c r="V29" s="125">
        <f t="shared" si="6"/>
        <v>121152.54286377787</v>
      </c>
      <c r="X29" s="126"/>
    </row>
    <row r="30" spans="1:24" ht="15">
      <c r="A30" s="72">
        <v>2061</v>
      </c>
      <c r="B30" s="174" t="s">
        <v>23</v>
      </c>
      <c r="C30" s="293" t="s">
        <v>157</v>
      </c>
      <c r="D30" s="72"/>
      <c r="E30" s="165">
        <v>7410</v>
      </c>
      <c r="F30" s="165">
        <v>6825</v>
      </c>
      <c r="G30" s="164">
        <f>VLOOKUP(A30,'[3]Summary'!$A$2:$E$59,5,0)</f>
        <v>7380</v>
      </c>
      <c r="H30" s="168">
        <f t="shared" si="2"/>
        <v>21615</v>
      </c>
      <c r="J30" s="124">
        <v>4.92</v>
      </c>
      <c r="K30" s="23">
        <f t="shared" si="0"/>
        <v>106345.8</v>
      </c>
      <c r="M30" s="20">
        <v>0.1688888888888889</v>
      </c>
      <c r="N30" s="21">
        <v>0.3097347770614664</v>
      </c>
      <c r="O30" s="21">
        <f t="shared" si="3"/>
        <v>6694.917206183596</v>
      </c>
      <c r="Q30" s="20" t="str">
        <f t="shared" si="1"/>
        <v>N</v>
      </c>
      <c r="R30" s="23">
        <v>0</v>
      </c>
      <c r="S30" s="23">
        <f t="shared" si="4"/>
        <v>0</v>
      </c>
      <c r="U30" s="125">
        <f t="shared" si="5"/>
        <v>5.229734777061466</v>
      </c>
      <c r="V30" s="125">
        <f t="shared" si="6"/>
        <v>113040.7172061836</v>
      </c>
      <c r="X30" s="126"/>
    </row>
    <row r="31" spans="1:24" ht="15">
      <c r="A31" s="72">
        <v>2021</v>
      </c>
      <c r="B31" s="174" t="s">
        <v>148</v>
      </c>
      <c r="C31" s="293" t="s">
        <v>157</v>
      </c>
      <c r="D31" s="72"/>
      <c r="E31" s="165">
        <v>12870</v>
      </c>
      <c r="F31" s="165">
        <v>7410</v>
      </c>
      <c r="G31" s="164">
        <f>VLOOKUP(A31,'[3]Summary'!$A$2:$E$59,5,0)</f>
        <v>8640</v>
      </c>
      <c r="H31" s="168">
        <f t="shared" si="2"/>
        <v>28920</v>
      </c>
      <c r="J31" s="124">
        <v>4.92</v>
      </c>
      <c r="K31" s="23">
        <f t="shared" si="0"/>
        <v>142286.4</v>
      </c>
      <c r="M31" s="20">
        <v>0.2542857142857142</v>
      </c>
      <c r="N31" s="21">
        <v>0.4663487902748769</v>
      </c>
      <c r="O31" s="21">
        <f t="shared" si="3"/>
        <v>13486.80701474944</v>
      </c>
      <c r="Q31" s="20" t="str">
        <f t="shared" si="1"/>
        <v>Y</v>
      </c>
      <c r="R31" s="23">
        <v>0.29</v>
      </c>
      <c r="S31" s="23">
        <f t="shared" si="4"/>
        <v>8386.8</v>
      </c>
      <c r="U31" s="125">
        <f t="shared" si="5"/>
        <v>5.676348790274877</v>
      </c>
      <c r="V31" s="125">
        <f t="shared" si="6"/>
        <v>164160.00701474943</v>
      </c>
      <c r="X31" s="126"/>
    </row>
    <row r="32" spans="1:24" ht="15">
      <c r="A32" s="72">
        <v>2063</v>
      </c>
      <c r="B32" s="174" t="s">
        <v>95</v>
      </c>
      <c r="C32" s="293" t="s">
        <v>157</v>
      </c>
      <c r="D32" s="72"/>
      <c r="E32" s="165">
        <v>4095</v>
      </c>
      <c r="F32" s="165">
        <v>3510</v>
      </c>
      <c r="G32" s="164">
        <f>VLOOKUP(A32,'[3]Summary'!$A$2:$E$59,5,0)</f>
        <v>4500</v>
      </c>
      <c r="H32" s="168">
        <f t="shared" si="2"/>
        <v>12105</v>
      </c>
      <c r="J32" s="124">
        <v>4.92</v>
      </c>
      <c r="K32" s="23">
        <f t="shared" si="0"/>
        <v>59556.6</v>
      </c>
      <c r="M32" s="20">
        <v>0.24210526315789482</v>
      </c>
      <c r="N32" s="21">
        <v>0.44401037985958147</v>
      </c>
      <c r="O32" s="21">
        <f t="shared" si="3"/>
        <v>5374.7456482002335</v>
      </c>
      <c r="Q32" s="20" t="str">
        <f t="shared" si="1"/>
        <v>N</v>
      </c>
      <c r="R32" s="23">
        <v>0</v>
      </c>
      <c r="S32" s="23">
        <f t="shared" si="4"/>
        <v>0</v>
      </c>
      <c r="U32" s="125">
        <f t="shared" si="5"/>
        <v>5.3640103798595815</v>
      </c>
      <c r="V32" s="125">
        <f t="shared" si="6"/>
        <v>64931.34564820023</v>
      </c>
      <c r="X32" s="126"/>
    </row>
    <row r="33" spans="1:24" ht="15">
      <c r="A33" s="72">
        <v>2081</v>
      </c>
      <c r="B33" s="174" t="s">
        <v>28</v>
      </c>
      <c r="C33" s="293" t="s">
        <v>157</v>
      </c>
      <c r="D33" s="72"/>
      <c r="E33" s="165">
        <v>14820</v>
      </c>
      <c r="F33" s="165">
        <v>14235</v>
      </c>
      <c r="G33" s="164">
        <f>VLOOKUP(A33,'[3]Summary'!$A$2:$E$59,5,0)</f>
        <v>13500</v>
      </c>
      <c r="H33" s="168">
        <f t="shared" si="2"/>
        <v>42555</v>
      </c>
      <c r="J33" s="124">
        <v>4.92</v>
      </c>
      <c r="K33" s="23">
        <f t="shared" si="0"/>
        <v>209370.6</v>
      </c>
      <c r="M33" s="20">
        <v>0.2223364485981308</v>
      </c>
      <c r="N33" s="21">
        <v>0.40775524542935654</v>
      </c>
      <c r="O33" s="21">
        <f t="shared" si="3"/>
        <v>17352.02446924627</v>
      </c>
      <c r="Q33" s="20" t="str">
        <f t="shared" si="1"/>
        <v>N</v>
      </c>
      <c r="R33" s="23">
        <v>0</v>
      </c>
      <c r="S33" s="23">
        <f t="shared" si="4"/>
        <v>0</v>
      </c>
      <c r="U33" s="125">
        <f t="shared" si="5"/>
        <v>5.327755245429357</v>
      </c>
      <c r="V33" s="125">
        <f t="shared" si="6"/>
        <v>226722.62446924628</v>
      </c>
      <c r="X33" s="126"/>
    </row>
    <row r="34" spans="1:24" ht="15">
      <c r="A34" s="72">
        <v>5204</v>
      </c>
      <c r="B34" s="174" t="s">
        <v>40</v>
      </c>
      <c r="C34" s="293" t="s">
        <v>157</v>
      </c>
      <c r="D34" s="72"/>
      <c r="E34" s="165">
        <v>12090</v>
      </c>
      <c r="F34" s="165">
        <v>8970</v>
      </c>
      <c r="G34" s="164">
        <f>VLOOKUP(A34,'[3]Summary'!$A$2:$E$59,5,0)</f>
        <v>9900</v>
      </c>
      <c r="H34" s="168">
        <f t="shared" si="2"/>
        <v>30960</v>
      </c>
      <c r="J34" s="124">
        <v>4.92</v>
      </c>
      <c r="K34" s="23">
        <f t="shared" si="0"/>
        <v>152323.2</v>
      </c>
      <c r="M34" s="20">
        <v>0.1632258064516129</v>
      </c>
      <c r="N34" s="21">
        <v>0.29934893351823383</v>
      </c>
      <c r="O34" s="21">
        <f t="shared" si="3"/>
        <v>9267.84298172452</v>
      </c>
      <c r="Q34" s="20" t="str">
        <f t="shared" si="1"/>
        <v>N</v>
      </c>
      <c r="R34" s="23">
        <v>0</v>
      </c>
      <c r="S34" s="23">
        <f t="shared" si="4"/>
        <v>0</v>
      </c>
      <c r="U34" s="125">
        <f t="shared" si="5"/>
        <v>5.2193489335182335</v>
      </c>
      <c r="V34" s="125">
        <f t="shared" si="6"/>
        <v>161591.04298172455</v>
      </c>
      <c r="X34" s="126"/>
    </row>
    <row r="35" spans="1:24" ht="15">
      <c r="A35" s="10">
        <v>3302</v>
      </c>
      <c r="B35" s="174" t="s">
        <v>30</v>
      </c>
      <c r="C35" s="293" t="s">
        <v>157</v>
      </c>
      <c r="D35" s="72"/>
      <c r="E35" s="165">
        <v>4095</v>
      </c>
      <c r="F35" s="165">
        <v>4875</v>
      </c>
      <c r="G35" s="164">
        <f>VLOOKUP(A35,'[3]Summary'!$A$2:$E$59,5,0)</f>
        <v>4320</v>
      </c>
      <c r="H35" s="168">
        <f t="shared" si="2"/>
        <v>13290</v>
      </c>
      <c r="J35" s="124">
        <v>4.92</v>
      </c>
      <c r="K35" s="23">
        <f t="shared" si="0"/>
        <v>65386.799999999996</v>
      </c>
      <c r="M35" s="20">
        <v>0.11172413793103447</v>
      </c>
      <c r="N35" s="21">
        <v>0.204897143809264</v>
      </c>
      <c r="O35" s="21">
        <f t="shared" si="3"/>
        <v>2723.0830412251184</v>
      </c>
      <c r="Q35" s="20" t="str">
        <f t="shared" si="1"/>
        <v>N</v>
      </c>
      <c r="R35" s="23">
        <v>0</v>
      </c>
      <c r="S35" s="23">
        <f t="shared" si="4"/>
        <v>0</v>
      </c>
      <c r="U35" s="125">
        <f t="shared" si="5"/>
        <v>5.124897143809264</v>
      </c>
      <c r="V35" s="125">
        <f t="shared" si="6"/>
        <v>68109.88304122511</v>
      </c>
      <c r="X35" s="126"/>
    </row>
    <row r="36" spans="1:24" ht="15">
      <c r="A36" s="72">
        <v>2027</v>
      </c>
      <c r="B36" s="174" t="s">
        <v>136</v>
      </c>
      <c r="C36" s="293" t="s">
        <v>157</v>
      </c>
      <c r="D36" s="72"/>
      <c r="E36" s="165">
        <v>13650</v>
      </c>
      <c r="F36" s="165">
        <v>13845</v>
      </c>
      <c r="G36" s="164">
        <f>VLOOKUP(A36,'[3]Summary'!$A$2:$E$59,5,0)</f>
        <v>14400</v>
      </c>
      <c r="H36" s="168">
        <f t="shared" si="2"/>
        <v>41895</v>
      </c>
      <c r="J36" s="124">
        <v>4.92</v>
      </c>
      <c r="K36" s="23">
        <f t="shared" si="0"/>
        <v>206123.4</v>
      </c>
      <c r="M36" s="20">
        <v>0.221341463414634</v>
      </c>
      <c r="N36" s="21">
        <v>0.40593048646494306</v>
      </c>
      <c r="O36" s="21">
        <f t="shared" si="3"/>
        <v>17006.45773044879</v>
      </c>
      <c r="Q36" s="20" t="str">
        <f t="shared" si="1"/>
        <v>N</v>
      </c>
      <c r="R36" s="23">
        <v>0</v>
      </c>
      <c r="S36" s="23">
        <f t="shared" si="4"/>
        <v>0</v>
      </c>
      <c r="U36" s="125">
        <f t="shared" si="5"/>
        <v>5.325930486464943</v>
      </c>
      <c r="V36" s="125">
        <f t="shared" si="6"/>
        <v>223129.85773044877</v>
      </c>
      <c r="X36" s="126"/>
    </row>
    <row r="37" spans="1:24" ht="15">
      <c r="A37" s="72">
        <v>2033</v>
      </c>
      <c r="B37" s="174" t="s">
        <v>15</v>
      </c>
      <c r="C37" s="293" t="s">
        <v>157</v>
      </c>
      <c r="D37" s="72"/>
      <c r="E37" s="165">
        <v>15405</v>
      </c>
      <c r="F37" s="165">
        <v>10920</v>
      </c>
      <c r="G37" s="164">
        <f>VLOOKUP(A37,'[3]Summary'!$A$2:$E$59,5,0)</f>
        <v>12420</v>
      </c>
      <c r="H37" s="168">
        <f t="shared" si="2"/>
        <v>38745</v>
      </c>
      <c r="J37" s="124">
        <v>4.92</v>
      </c>
      <c r="K37" s="23">
        <f t="shared" si="0"/>
        <v>190625.4</v>
      </c>
      <c r="M37" s="20">
        <v>0.1130769230769231</v>
      </c>
      <c r="N37" s="21">
        <v>0.20737809213174094</v>
      </c>
      <c r="O37" s="21">
        <f t="shared" si="3"/>
        <v>8034.864179644303</v>
      </c>
      <c r="Q37" s="20" t="str">
        <f t="shared" si="1"/>
        <v>N</v>
      </c>
      <c r="R37" s="23">
        <v>0</v>
      </c>
      <c r="S37" s="23">
        <f t="shared" si="4"/>
        <v>0</v>
      </c>
      <c r="U37" s="125">
        <f t="shared" si="5"/>
        <v>5.127378092131741</v>
      </c>
      <c r="V37" s="125">
        <f t="shared" si="6"/>
        <v>198660.2641796443</v>
      </c>
      <c r="X37" s="126"/>
    </row>
    <row r="38" spans="1:24" ht="15">
      <c r="A38" s="72">
        <v>2028</v>
      </c>
      <c r="B38" s="174" t="s">
        <v>137</v>
      </c>
      <c r="C38" s="293" t="s">
        <v>157</v>
      </c>
      <c r="D38" s="72"/>
      <c r="E38" s="165">
        <v>16965</v>
      </c>
      <c r="F38" s="165">
        <v>15990</v>
      </c>
      <c r="G38" s="164">
        <f>VLOOKUP(A38,'[3]Summary'!$A$2:$E$59,5,0)</f>
        <v>15120</v>
      </c>
      <c r="H38" s="168">
        <f t="shared" si="2"/>
        <v>48075</v>
      </c>
      <c r="J38" s="124">
        <v>4.92</v>
      </c>
      <c r="K38" s="23">
        <f t="shared" si="0"/>
        <v>236529</v>
      </c>
      <c r="M38" s="20">
        <v>0.26557251908396934</v>
      </c>
      <c r="N38" s="21">
        <v>0.48704829271653116</v>
      </c>
      <c r="O38" s="21">
        <f t="shared" si="3"/>
        <v>23414.846672347234</v>
      </c>
      <c r="Q38" s="20" t="str">
        <f aca="true" t="shared" si="7" ref="Q38:Q63">IF(M38&gt;0.25,"Y","N")</f>
        <v>Y</v>
      </c>
      <c r="R38" s="23">
        <v>0.29</v>
      </c>
      <c r="S38" s="23">
        <f t="shared" si="4"/>
        <v>13941.749999999998</v>
      </c>
      <c r="U38" s="125">
        <f t="shared" si="5"/>
        <v>5.697048292716532</v>
      </c>
      <c r="V38" s="125">
        <f t="shared" si="6"/>
        <v>273885.5966723472</v>
      </c>
      <c r="X38" s="126"/>
    </row>
    <row r="39" spans="1:24" ht="15">
      <c r="A39" s="10">
        <v>2017</v>
      </c>
      <c r="B39" s="174" t="s">
        <v>16</v>
      </c>
      <c r="C39" s="293" t="s">
        <v>157</v>
      </c>
      <c r="D39" s="72"/>
      <c r="E39" s="165">
        <v>9360</v>
      </c>
      <c r="F39" s="165">
        <v>8190</v>
      </c>
      <c r="G39" s="164">
        <f>VLOOKUP(A39,'[3]Summary'!$A$2:$E$59,5,0)</f>
        <v>5940</v>
      </c>
      <c r="H39" s="168">
        <f t="shared" si="2"/>
        <v>23490</v>
      </c>
      <c r="J39" s="124">
        <v>4.92</v>
      </c>
      <c r="K39" s="23">
        <f t="shared" si="0"/>
        <v>115570.8</v>
      </c>
      <c r="M39" s="20">
        <v>0.3195945945945945</v>
      </c>
      <c r="N39" s="21">
        <v>0.5861223977376697</v>
      </c>
      <c r="O39" s="21">
        <f t="shared" si="3"/>
        <v>13768.015122857862</v>
      </c>
      <c r="Q39" s="20" t="str">
        <f t="shared" si="7"/>
        <v>Y</v>
      </c>
      <c r="R39" s="23">
        <v>0.29</v>
      </c>
      <c r="S39" s="23">
        <f t="shared" si="4"/>
        <v>6812.099999999999</v>
      </c>
      <c r="U39" s="125">
        <f t="shared" si="5"/>
        <v>5.79612239773767</v>
      </c>
      <c r="V39" s="125">
        <f t="shared" si="6"/>
        <v>136150.91512285787</v>
      </c>
      <c r="X39" s="126"/>
    </row>
    <row r="40" spans="1:24" ht="15">
      <c r="A40" s="72">
        <v>1000</v>
      </c>
      <c r="B40" s="174" t="s">
        <v>168</v>
      </c>
      <c r="C40" s="293" t="s">
        <v>157</v>
      </c>
      <c r="D40" s="72"/>
      <c r="E40" s="165">
        <v>21450</v>
      </c>
      <c r="F40" s="165">
        <v>21645</v>
      </c>
      <c r="G40" s="164">
        <f>VLOOKUP(A40,'[3]Summary'!$A$2:$E$59,5,0)</f>
        <v>15480</v>
      </c>
      <c r="H40" s="168">
        <f t="shared" si="2"/>
        <v>58575</v>
      </c>
      <c r="J40" s="124">
        <v>4.92</v>
      </c>
      <c r="K40" s="23">
        <f t="shared" si="0"/>
        <v>288189</v>
      </c>
      <c r="M40" s="20">
        <v>0.28755813953488374</v>
      </c>
      <c r="N40" s="21">
        <v>0.5273689514272535</v>
      </c>
      <c r="O40" s="21">
        <f t="shared" si="3"/>
        <v>30890.63632985137</v>
      </c>
      <c r="Q40" s="20" t="str">
        <f t="shared" si="7"/>
        <v>Y</v>
      </c>
      <c r="R40" s="23">
        <v>0.29</v>
      </c>
      <c r="S40" s="23">
        <f t="shared" si="4"/>
        <v>16986.75</v>
      </c>
      <c r="U40" s="125">
        <f t="shared" si="5"/>
        <v>5.7373689514272534</v>
      </c>
      <c r="V40" s="125">
        <f t="shared" si="6"/>
        <v>336066.38632985135</v>
      </c>
      <c r="X40" s="126">
        <v>238802</v>
      </c>
    </row>
    <row r="41" spans="1:24" ht="15">
      <c r="A41" s="72">
        <v>2037</v>
      </c>
      <c r="B41" s="174" t="s">
        <v>93</v>
      </c>
      <c r="C41" s="293" t="s">
        <v>157</v>
      </c>
      <c r="D41" s="72"/>
      <c r="E41" s="165">
        <v>23205</v>
      </c>
      <c r="F41" s="165">
        <v>15405</v>
      </c>
      <c r="G41" s="164">
        <f>VLOOKUP(A41,'[3]Summary'!$A$2:$E$59,5,0)</f>
        <v>18900</v>
      </c>
      <c r="H41" s="168">
        <f t="shared" si="2"/>
        <v>57510</v>
      </c>
      <c r="J41" s="124">
        <v>4.92</v>
      </c>
      <c r="K41" s="23">
        <f t="shared" si="0"/>
        <v>282949.2</v>
      </c>
      <c r="M41" s="20">
        <v>0.2877439024390247</v>
      </c>
      <c r="N41" s="21">
        <v>0.5277096324044269</v>
      </c>
      <c r="O41" s="21">
        <f t="shared" si="3"/>
        <v>30348.58095957859</v>
      </c>
      <c r="Q41" s="20" t="str">
        <f t="shared" si="7"/>
        <v>Y</v>
      </c>
      <c r="R41" s="23">
        <v>0.29</v>
      </c>
      <c r="S41" s="23">
        <f t="shared" si="4"/>
        <v>16677.899999999998</v>
      </c>
      <c r="U41" s="125">
        <f t="shared" si="5"/>
        <v>5.737709632404427</v>
      </c>
      <c r="V41" s="125">
        <f t="shared" si="6"/>
        <v>329975.6809595786</v>
      </c>
      <c r="X41" s="126"/>
    </row>
    <row r="42" spans="1:24" ht="15">
      <c r="A42" s="72">
        <v>2039</v>
      </c>
      <c r="B42" s="174" t="s">
        <v>18</v>
      </c>
      <c r="C42" s="293" t="s">
        <v>157</v>
      </c>
      <c r="D42" s="72"/>
      <c r="E42" s="165">
        <v>12870</v>
      </c>
      <c r="F42" s="165">
        <v>10335</v>
      </c>
      <c r="G42" s="164">
        <f>VLOOKUP(A42,'[3]Summary'!$A$2:$E$59,5,0)</f>
        <v>9720</v>
      </c>
      <c r="H42" s="168">
        <f t="shared" si="2"/>
        <v>32925</v>
      </c>
      <c r="J42" s="124">
        <v>4.92</v>
      </c>
      <c r="K42" s="23">
        <f t="shared" si="0"/>
        <v>161991</v>
      </c>
      <c r="M42" s="20">
        <v>0.10473214285714282</v>
      </c>
      <c r="N42" s="21">
        <v>0.19207413307318488</v>
      </c>
      <c r="O42" s="21">
        <f t="shared" si="3"/>
        <v>6324.040831434612</v>
      </c>
      <c r="Q42" s="20" t="str">
        <f t="shared" si="7"/>
        <v>N</v>
      </c>
      <c r="R42" s="23">
        <v>0</v>
      </c>
      <c r="S42" s="23">
        <f t="shared" si="4"/>
        <v>0</v>
      </c>
      <c r="U42" s="125">
        <f t="shared" si="5"/>
        <v>5.112074133073185</v>
      </c>
      <c r="V42" s="125">
        <f t="shared" si="6"/>
        <v>168315.0408314346</v>
      </c>
      <c r="X42" s="126"/>
    </row>
    <row r="43" spans="1:24" ht="15">
      <c r="A43" s="72">
        <v>5200</v>
      </c>
      <c r="B43" s="174" t="s">
        <v>37</v>
      </c>
      <c r="C43" s="293" t="s">
        <v>157</v>
      </c>
      <c r="D43" s="72"/>
      <c r="E43" s="165">
        <v>14430</v>
      </c>
      <c r="F43" s="165">
        <v>14235</v>
      </c>
      <c r="G43" s="164">
        <f>VLOOKUP(A43,'[3]Summary'!$A$2:$E$59,5,0)</f>
        <v>13320</v>
      </c>
      <c r="H43" s="168">
        <f t="shared" si="2"/>
        <v>41985</v>
      </c>
      <c r="J43" s="124">
        <v>4.92</v>
      </c>
      <c r="K43" s="23">
        <f t="shared" si="0"/>
        <v>206566.19999999998</v>
      </c>
      <c r="M43" s="20">
        <v>0.16347457627118658</v>
      </c>
      <c r="N43" s="21">
        <v>0.2998051664007651</v>
      </c>
      <c r="O43" s="21">
        <f t="shared" si="3"/>
        <v>12587.319911336122</v>
      </c>
      <c r="Q43" s="20" t="str">
        <f t="shared" si="7"/>
        <v>N</v>
      </c>
      <c r="R43" s="23">
        <v>0</v>
      </c>
      <c r="S43" s="23">
        <f t="shared" si="4"/>
        <v>0</v>
      </c>
      <c r="U43" s="125">
        <f t="shared" si="5"/>
        <v>5.219805166400765</v>
      </c>
      <c r="V43" s="125">
        <f t="shared" si="6"/>
        <v>219153.5199113361</v>
      </c>
      <c r="X43" s="126"/>
    </row>
    <row r="44" spans="1:24" ht="15">
      <c r="A44" s="72">
        <v>2040</v>
      </c>
      <c r="B44" s="174" t="s">
        <v>97</v>
      </c>
      <c r="C44" s="293" t="s">
        <v>157</v>
      </c>
      <c r="D44" s="72"/>
      <c r="E44" s="165">
        <v>18720</v>
      </c>
      <c r="F44" s="165">
        <v>12480</v>
      </c>
      <c r="G44" s="164">
        <f>VLOOKUP(A44,'[3]Summary'!$A$2:$E$59,5,0)</f>
        <v>12780</v>
      </c>
      <c r="H44" s="168">
        <f t="shared" si="2"/>
        <v>43980</v>
      </c>
      <c r="J44" s="124">
        <v>4.92</v>
      </c>
      <c r="K44" s="23">
        <f t="shared" si="0"/>
        <v>216381.6</v>
      </c>
      <c r="M44" s="20">
        <v>0.2378813559322033</v>
      </c>
      <c r="N44" s="21">
        <v>0.4362639202109624</v>
      </c>
      <c r="O44" s="21">
        <f t="shared" si="3"/>
        <v>19186.887210878125</v>
      </c>
      <c r="Q44" s="20" t="str">
        <f t="shared" si="7"/>
        <v>N</v>
      </c>
      <c r="R44" s="23">
        <v>0</v>
      </c>
      <c r="S44" s="23">
        <f t="shared" si="4"/>
        <v>0</v>
      </c>
      <c r="U44" s="125">
        <f t="shared" si="5"/>
        <v>5.356263920210962</v>
      </c>
      <c r="V44" s="125">
        <f t="shared" si="6"/>
        <v>235568.48721087814</v>
      </c>
      <c r="X44" s="126"/>
    </row>
    <row r="45" spans="1:24" ht="15">
      <c r="A45" s="72">
        <v>2064</v>
      </c>
      <c r="B45" s="174" t="s">
        <v>24</v>
      </c>
      <c r="C45" s="293" t="s">
        <v>157</v>
      </c>
      <c r="D45" s="72"/>
      <c r="E45" s="165">
        <v>12480</v>
      </c>
      <c r="F45" s="165">
        <v>13260</v>
      </c>
      <c r="G45" s="164">
        <f>VLOOKUP(A45,'[3]Summary'!$A$2:$E$59,5,0)</f>
        <v>12240</v>
      </c>
      <c r="H45" s="168">
        <f t="shared" si="2"/>
        <v>37980</v>
      </c>
      <c r="J45" s="124">
        <v>4.92</v>
      </c>
      <c r="K45" s="23">
        <f t="shared" si="0"/>
        <v>186861.6</v>
      </c>
      <c r="M45" s="20">
        <v>0.28319587628865955</v>
      </c>
      <c r="N45" s="21">
        <v>0.5193687529361521</v>
      </c>
      <c r="O45" s="21">
        <f t="shared" si="3"/>
        <v>19725.625236515058</v>
      </c>
      <c r="Q45" s="20" t="str">
        <f t="shared" si="7"/>
        <v>Y</v>
      </c>
      <c r="R45" s="23">
        <v>0.29</v>
      </c>
      <c r="S45" s="23">
        <f t="shared" si="4"/>
        <v>11014.199999999999</v>
      </c>
      <c r="U45" s="125">
        <f t="shared" si="5"/>
        <v>5.7293687529361526</v>
      </c>
      <c r="V45" s="125">
        <f t="shared" si="6"/>
        <v>217601.42523651506</v>
      </c>
      <c r="X45" s="126"/>
    </row>
    <row r="46" spans="1:24" ht="15">
      <c r="A46" s="72">
        <v>2045</v>
      </c>
      <c r="B46" s="174" t="s">
        <v>140</v>
      </c>
      <c r="C46" s="293" t="s">
        <v>157</v>
      </c>
      <c r="D46" s="72"/>
      <c r="E46" s="165">
        <v>8970</v>
      </c>
      <c r="F46" s="165">
        <v>5655</v>
      </c>
      <c r="G46" s="164">
        <f>VLOOKUP(A46,'[3]Summary'!$A$2:$E$59,5,0)</f>
        <v>7020</v>
      </c>
      <c r="H46" s="168">
        <f t="shared" si="2"/>
        <v>21645</v>
      </c>
      <c r="J46" s="124">
        <v>4.92</v>
      </c>
      <c r="K46" s="23">
        <f t="shared" si="0"/>
        <v>106493.4</v>
      </c>
      <c r="M46" s="20">
        <v>0.26816666666666655</v>
      </c>
      <c r="N46" s="21">
        <v>0.49180584502490055</v>
      </c>
      <c r="O46" s="21">
        <f t="shared" si="3"/>
        <v>10645.137515563973</v>
      </c>
      <c r="Q46" s="20" t="str">
        <f t="shared" si="7"/>
        <v>Y</v>
      </c>
      <c r="R46" s="23">
        <v>0.29</v>
      </c>
      <c r="S46" s="23">
        <f t="shared" si="4"/>
        <v>6277.049999999999</v>
      </c>
      <c r="U46" s="125">
        <f t="shared" si="5"/>
        <v>5.701805845024901</v>
      </c>
      <c r="V46" s="125">
        <f t="shared" si="6"/>
        <v>123415.58751556397</v>
      </c>
      <c r="X46" s="126"/>
    </row>
    <row r="47" spans="1:24" ht="15">
      <c r="A47" s="72">
        <v>2080</v>
      </c>
      <c r="B47" s="174" t="s">
        <v>27</v>
      </c>
      <c r="C47" s="293" t="s">
        <v>157</v>
      </c>
      <c r="D47" s="72"/>
      <c r="E47" s="165">
        <v>13650</v>
      </c>
      <c r="F47" s="165">
        <v>7020</v>
      </c>
      <c r="G47" s="164">
        <f>VLOOKUP(A47,'[3]Summary'!$A$2:$E$59,5,0)</f>
        <v>7560</v>
      </c>
      <c r="H47" s="168">
        <f t="shared" si="2"/>
        <v>28230</v>
      </c>
      <c r="J47" s="124">
        <v>4.92</v>
      </c>
      <c r="K47" s="23">
        <f t="shared" si="0"/>
        <v>138891.6</v>
      </c>
      <c r="M47" s="20">
        <v>0.1693243243243244</v>
      </c>
      <c r="N47" s="21">
        <v>0.3105333464546726</v>
      </c>
      <c r="O47" s="21">
        <f t="shared" si="3"/>
        <v>8766.356370415408</v>
      </c>
      <c r="Q47" s="20" t="str">
        <f t="shared" si="7"/>
        <v>N</v>
      </c>
      <c r="R47" s="23">
        <v>0</v>
      </c>
      <c r="S47" s="23">
        <f t="shared" si="4"/>
        <v>0</v>
      </c>
      <c r="U47" s="125">
        <f t="shared" si="5"/>
        <v>5.230533346454672</v>
      </c>
      <c r="V47" s="125">
        <f t="shared" si="6"/>
        <v>147657.9563704154</v>
      </c>
      <c r="X47" s="126"/>
    </row>
    <row r="48" spans="1:24" ht="15">
      <c r="A48" s="72">
        <v>2048</v>
      </c>
      <c r="B48" s="174" t="s">
        <v>19</v>
      </c>
      <c r="C48" s="293" t="s">
        <v>157</v>
      </c>
      <c r="D48" s="72"/>
      <c r="E48" s="165">
        <v>9750</v>
      </c>
      <c r="F48" s="165">
        <v>4875</v>
      </c>
      <c r="G48" s="164">
        <f>VLOOKUP(A48,'[3]Summary'!$A$2:$E$59,5,0)</f>
        <v>6660</v>
      </c>
      <c r="H48" s="168">
        <f t="shared" si="2"/>
        <v>21285</v>
      </c>
      <c r="J48" s="124">
        <v>4.92</v>
      </c>
      <c r="K48" s="23">
        <f t="shared" si="0"/>
        <v>104722.2</v>
      </c>
      <c r="M48" s="20">
        <v>0.19461538461538463</v>
      </c>
      <c r="N48" s="21">
        <v>0.3569160361178942</v>
      </c>
      <c r="O48" s="21">
        <f t="shared" si="3"/>
        <v>7596.957828769378</v>
      </c>
      <c r="Q48" s="20" t="str">
        <f t="shared" si="7"/>
        <v>N</v>
      </c>
      <c r="R48" s="23">
        <v>0</v>
      </c>
      <c r="S48" s="23">
        <f t="shared" si="4"/>
        <v>0</v>
      </c>
      <c r="U48" s="125">
        <f t="shared" si="5"/>
        <v>5.276916036117894</v>
      </c>
      <c r="V48" s="125">
        <f t="shared" si="6"/>
        <v>112319.15782876937</v>
      </c>
      <c r="X48" s="126"/>
    </row>
    <row r="49" spans="1:24" ht="15">
      <c r="A49" s="72">
        <v>3405</v>
      </c>
      <c r="B49" s="10" t="s">
        <v>36</v>
      </c>
      <c r="C49" s="293" t="s">
        <v>157</v>
      </c>
      <c r="D49" s="72"/>
      <c r="E49" s="165">
        <v>11505</v>
      </c>
      <c r="F49" s="165">
        <v>10725</v>
      </c>
      <c r="G49" s="164">
        <f>VLOOKUP(A49,'[3]Summary'!$A$2:$E$59,5,0)</f>
        <v>9900</v>
      </c>
      <c r="H49" s="168">
        <f t="shared" si="2"/>
        <v>32130</v>
      </c>
      <c r="J49" s="124">
        <v>4.92</v>
      </c>
      <c r="K49" s="23">
        <f t="shared" si="0"/>
        <v>158079.6</v>
      </c>
      <c r="M49" s="20">
        <v>0.1250467289719626</v>
      </c>
      <c r="N49" s="21">
        <v>0.22933018847603154</v>
      </c>
      <c r="O49" s="21">
        <f t="shared" si="3"/>
        <v>7368.378955734894</v>
      </c>
      <c r="Q49" s="20" t="str">
        <f t="shared" si="7"/>
        <v>N</v>
      </c>
      <c r="R49" s="23">
        <v>0</v>
      </c>
      <c r="S49" s="23">
        <f t="shared" si="4"/>
        <v>0</v>
      </c>
      <c r="U49" s="125">
        <f t="shared" si="5"/>
        <v>5.149330188476031</v>
      </c>
      <c r="V49" s="125">
        <f t="shared" si="6"/>
        <v>165447.9789557349</v>
      </c>
      <c r="X49" s="126"/>
    </row>
    <row r="50" spans="1:24" ht="15">
      <c r="A50" s="72">
        <v>5208</v>
      </c>
      <c r="B50" s="174" t="s">
        <v>99</v>
      </c>
      <c r="C50" s="293" t="s">
        <v>157</v>
      </c>
      <c r="D50" s="72"/>
      <c r="E50" s="165">
        <v>2925</v>
      </c>
      <c r="F50" s="165">
        <v>3120</v>
      </c>
      <c r="G50" s="164">
        <f>VLOOKUP(A50,'[3]Summary'!$A$2:$E$59,5,0)</f>
        <v>2880</v>
      </c>
      <c r="H50" s="168">
        <f t="shared" si="2"/>
        <v>8925</v>
      </c>
      <c r="J50" s="124">
        <v>4.92</v>
      </c>
      <c r="K50" s="23">
        <f t="shared" si="0"/>
        <v>43911</v>
      </c>
      <c r="M50" s="20">
        <v>0.25458333333333333</v>
      </c>
      <c r="N50" s="21">
        <v>0.4668946104882137</v>
      </c>
      <c r="O50" s="21">
        <f t="shared" si="3"/>
        <v>4167.034398607307</v>
      </c>
      <c r="Q50" s="20" t="str">
        <f t="shared" si="7"/>
        <v>Y</v>
      </c>
      <c r="R50" s="23">
        <v>0.29</v>
      </c>
      <c r="S50" s="23">
        <f t="shared" si="4"/>
        <v>2588.25</v>
      </c>
      <c r="U50" s="125">
        <f t="shared" si="5"/>
        <v>5.676894610488214</v>
      </c>
      <c r="V50" s="125">
        <f t="shared" si="6"/>
        <v>50666.284398607306</v>
      </c>
      <c r="X50" s="126"/>
    </row>
    <row r="51" spans="1:24" ht="15">
      <c r="A51" s="72">
        <v>3402</v>
      </c>
      <c r="B51" s="129" t="s">
        <v>33</v>
      </c>
      <c r="C51" s="293" t="s">
        <v>157</v>
      </c>
      <c r="D51" s="72"/>
      <c r="E51" s="165">
        <v>9165</v>
      </c>
      <c r="F51" s="165">
        <v>8190</v>
      </c>
      <c r="G51" s="164">
        <f>VLOOKUP(A51,'[3]Summary'!$A$2:$E$59,5,0)</f>
        <v>7560</v>
      </c>
      <c r="H51" s="168">
        <f t="shared" si="2"/>
        <v>24915</v>
      </c>
      <c r="J51" s="124">
        <v>4.92</v>
      </c>
      <c r="K51" s="23">
        <f t="shared" si="0"/>
        <v>122581.8</v>
      </c>
      <c r="M51" s="20">
        <v>0.22048192771084338</v>
      </c>
      <c r="N51" s="21">
        <v>0.4043541358752656</v>
      </c>
      <c r="O51" s="21">
        <f t="shared" si="3"/>
        <v>10074.483295332242</v>
      </c>
      <c r="Q51" s="20" t="str">
        <f t="shared" si="7"/>
        <v>N</v>
      </c>
      <c r="R51" s="23">
        <v>0</v>
      </c>
      <c r="S51" s="23">
        <f t="shared" si="4"/>
        <v>0</v>
      </c>
      <c r="U51" s="125">
        <f t="shared" si="5"/>
        <v>5.324354135875265</v>
      </c>
      <c r="V51" s="125">
        <f t="shared" si="6"/>
        <v>132656.28329533225</v>
      </c>
      <c r="X51" s="126"/>
    </row>
    <row r="52" spans="1:24" ht="15">
      <c r="A52" s="72">
        <v>3403</v>
      </c>
      <c r="B52" s="129" t="s">
        <v>34</v>
      </c>
      <c r="C52" s="293" t="s">
        <v>157</v>
      </c>
      <c r="D52" s="72"/>
      <c r="E52" s="165">
        <v>6630</v>
      </c>
      <c r="F52" s="165">
        <v>4290</v>
      </c>
      <c r="G52" s="164">
        <f>VLOOKUP(A52,'[3]Summary'!$A$2:$E$59,5,0)</f>
        <v>4680</v>
      </c>
      <c r="H52" s="168">
        <f t="shared" si="2"/>
        <v>15600</v>
      </c>
      <c r="J52" s="124">
        <v>4.92</v>
      </c>
      <c r="K52" s="23">
        <f t="shared" si="0"/>
        <v>76752</v>
      </c>
      <c r="M52" s="20">
        <v>0.31627906976744175</v>
      </c>
      <c r="N52" s="21">
        <v>0.5800418713635781</v>
      </c>
      <c r="O52" s="21">
        <f t="shared" si="3"/>
        <v>9048.653193271819</v>
      </c>
      <c r="Q52" s="20" t="str">
        <f t="shared" si="7"/>
        <v>Y</v>
      </c>
      <c r="R52" s="23">
        <v>0.29</v>
      </c>
      <c r="S52" s="23">
        <f t="shared" si="4"/>
        <v>4524</v>
      </c>
      <c r="U52" s="125">
        <f t="shared" si="5"/>
        <v>5.790041871363578</v>
      </c>
      <c r="V52" s="125">
        <f t="shared" si="6"/>
        <v>90324.65319327182</v>
      </c>
      <c r="X52" s="126"/>
    </row>
    <row r="53" spans="1:24" ht="15">
      <c r="A53" s="72">
        <v>2035</v>
      </c>
      <c r="B53" s="174" t="s">
        <v>149</v>
      </c>
      <c r="C53" s="293" t="s">
        <v>157</v>
      </c>
      <c r="D53" s="72"/>
      <c r="E53" s="165">
        <v>5070</v>
      </c>
      <c r="F53" s="165">
        <v>5070</v>
      </c>
      <c r="G53" s="164">
        <f>VLOOKUP(A53,'[3]Summary'!$A$2:$E$59,5,0)</f>
        <v>5040</v>
      </c>
      <c r="H53" s="168">
        <f t="shared" si="2"/>
        <v>15180</v>
      </c>
      <c r="J53" s="124">
        <v>4.92</v>
      </c>
      <c r="K53" s="23">
        <f t="shared" si="0"/>
        <v>74685.6</v>
      </c>
      <c r="M53" s="20">
        <v>0.30459999999999987</v>
      </c>
      <c r="N53" s="21">
        <v>0.558622972260726</v>
      </c>
      <c r="O53" s="21">
        <f t="shared" si="3"/>
        <v>8479.89671891782</v>
      </c>
      <c r="Q53" s="20" t="str">
        <f t="shared" si="7"/>
        <v>Y</v>
      </c>
      <c r="R53" s="23">
        <v>0.29</v>
      </c>
      <c r="S53" s="23">
        <f t="shared" si="4"/>
        <v>4402.2</v>
      </c>
      <c r="U53" s="125">
        <f t="shared" si="5"/>
        <v>5.768622972260726</v>
      </c>
      <c r="V53" s="125">
        <f t="shared" si="6"/>
        <v>87567.69671891782</v>
      </c>
      <c r="X53" s="126"/>
    </row>
    <row r="54" spans="1:24" ht="15">
      <c r="A54" s="72">
        <v>3404</v>
      </c>
      <c r="B54" s="129" t="s">
        <v>35</v>
      </c>
      <c r="C54" s="293" t="s">
        <v>157</v>
      </c>
      <c r="D54" s="72"/>
      <c r="E54" s="165">
        <v>7800</v>
      </c>
      <c r="F54" s="165">
        <v>6045</v>
      </c>
      <c r="G54" s="164">
        <f>VLOOKUP(A54,'[3]Summary'!$A$2:$E$59,5,0)</f>
        <v>8100</v>
      </c>
      <c r="H54" s="168">
        <f t="shared" si="2"/>
        <v>21945</v>
      </c>
      <c r="J54" s="124">
        <v>4.92</v>
      </c>
      <c r="K54" s="23">
        <f t="shared" si="0"/>
        <v>107969.4</v>
      </c>
      <c r="M54" s="20">
        <v>0.21921052631578952</v>
      </c>
      <c r="N54" s="21">
        <v>0.40202244176416446</v>
      </c>
      <c r="O54" s="21">
        <f t="shared" si="3"/>
        <v>8822.382484514588</v>
      </c>
      <c r="Q54" s="20" t="str">
        <f t="shared" si="7"/>
        <v>N</v>
      </c>
      <c r="R54" s="23">
        <v>0</v>
      </c>
      <c r="S54" s="23">
        <f t="shared" si="4"/>
        <v>0</v>
      </c>
      <c r="U54" s="125">
        <f t="shared" si="5"/>
        <v>5.322022441764164</v>
      </c>
      <c r="V54" s="125">
        <f t="shared" si="6"/>
        <v>116791.78248451458</v>
      </c>
      <c r="X54" s="126"/>
    </row>
    <row r="55" spans="1:24" ht="15">
      <c r="A55" s="72">
        <v>3306</v>
      </c>
      <c r="B55" s="129" t="s">
        <v>130</v>
      </c>
      <c r="C55" s="293" t="s">
        <v>157</v>
      </c>
      <c r="D55" s="72"/>
      <c r="E55" s="165">
        <v>9750</v>
      </c>
      <c r="F55" s="165">
        <v>7800</v>
      </c>
      <c r="G55" s="164">
        <f>VLOOKUP(A55,'[3]Summary'!$A$2:$E$59,5,0)</f>
        <v>8100</v>
      </c>
      <c r="H55" s="168">
        <f t="shared" si="2"/>
        <v>25650</v>
      </c>
      <c r="J55" s="124">
        <v>4.92</v>
      </c>
      <c r="K55" s="23">
        <f t="shared" si="0"/>
        <v>126198</v>
      </c>
      <c r="M55" s="20">
        <v>0.2820270270270269</v>
      </c>
      <c r="N55" s="21">
        <v>0.5172251349169203</v>
      </c>
      <c r="O55" s="21">
        <f t="shared" si="3"/>
        <v>13266.824710619007</v>
      </c>
      <c r="Q55" s="20" t="str">
        <f t="shared" si="7"/>
        <v>Y</v>
      </c>
      <c r="R55" s="23">
        <v>0.29</v>
      </c>
      <c r="S55" s="23">
        <f t="shared" si="4"/>
        <v>7438.499999999999</v>
      </c>
      <c r="U55" s="125">
        <f t="shared" si="5"/>
        <v>5.72722513491692</v>
      </c>
      <c r="V55" s="125">
        <f t="shared" si="6"/>
        <v>146903.324710619</v>
      </c>
      <c r="X55" s="126"/>
    </row>
    <row r="56" spans="1:24" ht="15">
      <c r="A56" s="72">
        <v>3400</v>
      </c>
      <c r="B56" s="174" t="s">
        <v>155</v>
      </c>
      <c r="C56" s="293" t="s">
        <v>157</v>
      </c>
      <c r="D56" s="72"/>
      <c r="E56" s="165">
        <v>3900</v>
      </c>
      <c r="F56" s="165">
        <v>3900</v>
      </c>
      <c r="G56" s="164">
        <f>VLOOKUP(A56,'[3]Summary'!$A$2:$E$59,5,0)</f>
        <v>3600</v>
      </c>
      <c r="H56" s="168">
        <f t="shared" si="2"/>
        <v>11400</v>
      </c>
      <c r="J56" s="124">
        <v>4.92</v>
      </c>
      <c r="K56" s="23">
        <f t="shared" si="0"/>
        <v>56088</v>
      </c>
      <c r="M56" s="20">
        <v>0.14864864864864868</v>
      </c>
      <c r="N56" s="21">
        <v>0.27261506871519536</v>
      </c>
      <c r="O56" s="21">
        <f t="shared" si="3"/>
        <v>3107.811783353227</v>
      </c>
      <c r="Q56" s="20" t="str">
        <f t="shared" si="7"/>
        <v>N</v>
      </c>
      <c r="R56" s="23">
        <v>0</v>
      </c>
      <c r="S56" s="23">
        <f t="shared" si="4"/>
        <v>0</v>
      </c>
      <c r="U56" s="125">
        <f t="shared" si="5"/>
        <v>5.192615068715195</v>
      </c>
      <c r="V56" s="125">
        <f t="shared" si="6"/>
        <v>59195.81178335323</v>
      </c>
      <c r="X56" s="126"/>
    </row>
    <row r="57" spans="1:24" ht="15">
      <c r="A57" s="10">
        <v>2065</v>
      </c>
      <c r="B57" s="174" t="s">
        <v>96</v>
      </c>
      <c r="C57" s="293" t="s">
        <v>157</v>
      </c>
      <c r="D57" s="72"/>
      <c r="E57" s="165">
        <v>6630</v>
      </c>
      <c r="F57" s="165">
        <v>5070</v>
      </c>
      <c r="G57" s="164">
        <f>VLOOKUP(A57,'[3]Summary'!$A$2:$E$59,5,0)</f>
        <v>6300</v>
      </c>
      <c r="H57" s="168">
        <f t="shared" si="2"/>
        <v>18000</v>
      </c>
      <c r="J57" s="124">
        <v>4.92</v>
      </c>
      <c r="K57" s="23">
        <f t="shared" si="0"/>
        <v>88560</v>
      </c>
      <c r="M57" s="20">
        <v>0.10300000000000001</v>
      </c>
      <c r="N57" s="21">
        <v>0.18889745943156533</v>
      </c>
      <c r="O57" s="21">
        <f t="shared" si="3"/>
        <v>3400.1542697681757</v>
      </c>
      <c r="Q57" s="20" t="str">
        <f t="shared" si="7"/>
        <v>N</v>
      </c>
      <c r="R57" s="23">
        <v>0</v>
      </c>
      <c r="S57" s="23">
        <f t="shared" si="4"/>
        <v>0</v>
      </c>
      <c r="U57" s="125">
        <f t="shared" si="5"/>
        <v>5.1088974594315655</v>
      </c>
      <c r="V57" s="125">
        <f t="shared" si="6"/>
        <v>91960.15426976817</v>
      </c>
      <c r="X57" s="126"/>
    </row>
    <row r="58" spans="1:24" ht="15">
      <c r="A58" s="10">
        <v>2051</v>
      </c>
      <c r="B58" s="174" t="s">
        <v>207</v>
      </c>
      <c r="C58" s="293" t="s">
        <v>157</v>
      </c>
      <c r="D58" s="72"/>
      <c r="E58" s="165">
        <v>11700</v>
      </c>
      <c r="F58" s="165">
        <v>11700</v>
      </c>
      <c r="G58" s="164">
        <f>VLOOKUP(A58,'[3]Summary'!$A$2:$E$59,5,0)</f>
        <v>10800</v>
      </c>
      <c r="H58" s="168">
        <f t="shared" si="2"/>
        <v>34200</v>
      </c>
      <c r="J58" s="124">
        <v>4.92</v>
      </c>
      <c r="K58" s="23">
        <f t="shared" si="0"/>
        <v>168264</v>
      </c>
      <c r="M58" s="20">
        <v>0.2973737373737374</v>
      </c>
      <c r="N58" s="21">
        <v>0.5453703251608595</v>
      </c>
      <c r="O58" s="21">
        <f t="shared" si="3"/>
        <v>18651.665120501395</v>
      </c>
      <c r="Q58" s="20" t="str">
        <f t="shared" si="7"/>
        <v>Y</v>
      </c>
      <c r="R58" s="23">
        <v>0.29</v>
      </c>
      <c r="S58" s="23">
        <f t="shared" si="4"/>
        <v>9918</v>
      </c>
      <c r="U58" s="125">
        <f t="shared" si="5"/>
        <v>5.755370325160859</v>
      </c>
      <c r="V58" s="125">
        <f t="shared" si="6"/>
        <v>196833.6651205014</v>
      </c>
      <c r="X58" s="126"/>
    </row>
    <row r="59" spans="1:24" ht="15">
      <c r="A59" s="10">
        <v>2069</v>
      </c>
      <c r="B59" s="174" t="s">
        <v>25</v>
      </c>
      <c r="C59" s="293" t="s">
        <v>157</v>
      </c>
      <c r="D59" s="72"/>
      <c r="E59" s="165">
        <v>10335</v>
      </c>
      <c r="F59" s="165">
        <v>13455</v>
      </c>
      <c r="G59" s="164">
        <f>VLOOKUP(A59,'[3]Summary'!$A$2:$E$59,5,0)</f>
        <v>12600</v>
      </c>
      <c r="H59" s="168">
        <f t="shared" si="2"/>
        <v>36390</v>
      </c>
      <c r="J59" s="124">
        <v>4.92</v>
      </c>
      <c r="K59" s="23">
        <f t="shared" si="0"/>
        <v>179038.8</v>
      </c>
      <c r="M59" s="20">
        <v>0.22897196261682223</v>
      </c>
      <c r="N59" s="21">
        <v>0.41992448562502016</v>
      </c>
      <c r="O59" s="21">
        <f t="shared" si="3"/>
        <v>15281.052031894484</v>
      </c>
      <c r="Q59" s="20" t="str">
        <f t="shared" si="7"/>
        <v>N</v>
      </c>
      <c r="R59" s="23">
        <v>0</v>
      </c>
      <c r="S59" s="23">
        <f t="shared" si="4"/>
        <v>0</v>
      </c>
      <c r="U59" s="125">
        <f t="shared" si="5"/>
        <v>5.33992448562502</v>
      </c>
      <c r="V59" s="125">
        <f t="shared" si="6"/>
        <v>194319.85203189446</v>
      </c>
      <c r="X59" s="126"/>
    </row>
    <row r="60" spans="1:24" ht="15">
      <c r="A60" s="72">
        <v>2074</v>
      </c>
      <c r="B60" s="174" t="s">
        <v>205</v>
      </c>
      <c r="C60" s="293" t="s">
        <v>157</v>
      </c>
      <c r="D60" s="72"/>
      <c r="E60" s="165">
        <v>10725</v>
      </c>
      <c r="F60" s="165">
        <v>12090</v>
      </c>
      <c r="G60" s="164">
        <f>VLOOKUP(A60,'[3]Summary'!$A$2:$E$59,5,0)</f>
        <v>11160</v>
      </c>
      <c r="H60" s="168">
        <f t="shared" si="2"/>
        <v>33975</v>
      </c>
      <c r="J60" s="124">
        <v>4.92</v>
      </c>
      <c r="K60" s="23">
        <f t="shared" si="0"/>
        <v>167157</v>
      </c>
      <c r="M60" s="20">
        <v>0.13483870967741932</v>
      </c>
      <c r="N60" s="21">
        <v>0.2472882494281061</v>
      </c>
      <c r="O60" s="21">
        <f t="shared" si="3"/>
        <v>8401.618274319904</v>
      </c>
      <c r="Q60" s="20" t="str">
        <f t="shared" si="7"/>
        <v>N</v>
      </c>
      <c r="R60" s="23">
        <v>0</v>
      </c>
      <c r="S60" s="23">
        <f t="shared" si="4"/>
        <v>0</v>
      </c>
      <c r="U60" s="125">
        <f t="shared" si="5"/>
        <v>5.167288249428106</v>
      </c>
      <c r="V60" s="125">
        <f t="shared" si="6"/>
        <v>175558.61827431992</v>
      </c>
      <c r="X60" s="126"/>
    </row>
    <row r="61" spans="1:24" ht="15">
      <c r="A61" s="72">
        <v>2049</v>
      </c>
      <c r="B61" s="174" t="s">
        <v>206</v>
      </c>
      <c r="C61" s="293" t="s">
        <v>157</v>
      </c>
      <c r="D61" s="72"/>
      <c r="E61" s="165">
        <v>13845</v>
      </c>
      <c r="F61" s="165">
        <v>12285</v>
      </c>
      <c r="G61" s="164">
        <f>VLOOKUP(A61,'[3]Summary'!$A$2:$E$59,5,0)</f>
        <v>11340</v>
      </c>
      <c r="H61" s="168">
        <f t="shared" si="2"/>
        <v>37470</v>
      </c>
      <c r="J61" s="124">
        <v>4.92</v>
      </c>
      <c r="K61" s="23">
        <f t="shared" si="0"/>
        <v>184352.4</v>
      </c>
      <c r="M61" s="20">
        <v>0.238876404494382</v>
      </c>
      <c r="N61" s="21">
        <v>0.4380887954090846</v>
      </c>
      <c r="O61" s="21">
        <f t="shared" si="3"/>
        <v>16415.1871639784</v>
      </c>
      <c r="Q61" s="20" t="str">
        <f t="shared" si="7"/>
        <v>N</v>
      </c>
      <c r="R61" s="23">
        <v>0</v>
      </c>
      <c r="S61" s="23">
        <f t="shared" si="4"/>
        <v>0</v>
      </c>
      <c r="U61" s="125">
        <f t="shared" si="5"/>
        <v>5.358088795409085</v>
      </c>
      <c r="V61" s="125">
        <f t="shared" si="6"/>
        <v>200767.5871639784</v>
      </c>
      <c r="X61" s="126"/>
    </row>
    <row r="62" spans="1:24" ht="15">
      <c r="A62" s="72">
        <v>2082</v>
      </c>
      <c r="B62" s="129" t="s">
        <v>44</v>
      </c>
      <c r="C62" s="293" t="s">
        <v>157</v>
      </c>
      <c r="D62" s="72"/>
      <c r="E62" s="165">
        <v>11505</v>
      </c>
      <c r="F62" s="165">
        <v>8385</v>
      </c>
      <c r="G62" s="164">
        <f>VLOOKUP(A62,'[3]Summary'!$A$2:$E$59,5,0)</f>
        <v>10440</v>
      </c>
      <c r="H62" s="168">
        <f t="shared" si="2"/>
        <v>30330</v>
      </c>
      <c r="J62" s="124">
        <v>4.92</v>
      </c>
      <c r="K62" s="23">
        <f t="shared" si="0"/>
        <v>149223.6</v>
      </c>
      <c r="M62" s="20">
        <v>0.27410071942446035</v>
      </c>
      <c r="N62" s="21">
        <v>0.5026886361907269</v>
      </c>
      <c r="O62" s="21">
        <f t="shared" si="3"/>
        <v>15246.546335664747</v>
      </c>
      <c r="Q62" s="20" t="str">
        <f t="shared" si="7"/>
        <v>Y</v>
      </c>
      <c r="R62" s="23">
        <v>0.29</v>
      </c>
      <c r="S62" s="23">
        <f t="shared" si="4"/>
        <v>8795.699999999999</v>
      </c>
      <c r="U62" s="125">
        <f t="shared" si="5"/>
        <v>5.712688636190727</v>
      </c>
      <c r="V62" s="125">
        <f t="shared" si="6"/>
        <v>173265.84633566474</v>
      </c>
      <c r="X62" s="126"/>
    </row>
    <row r="63" spans="1:24" ht="15">
      <c r="A63" s="72">
        <v>2060</v>
      </c>
      <c r="B63" s="174" t="s">
        <v>94</v>
      </c>
      <c r="C63" s="293" t="s">
        <v>157</v>
      </c>
      <c r="D63" s="72"/>
      <c r="E63" s="165">
        <v>23400</v>
      </c>
      <c r="F63" s="165">
        <v>20280</v>
      </c>
      <c r="G63" s="164">
        <f>VLOOKUP(A63,'[3]Summary'!$A$2:$E$59,5,0)</f>
        <v>21420</v>
      </c>
      <c r="H63" s="168">
        <f t="shared" si="2"/>
        <v>65100</v>
      </c>
      <c r="J63" s="124">
        <v>4.92</v>
      </c>
      <c r="K63" s="23">
        <f t="shared" si="0"/>
        <v>320292</v>
      </c>
      <c r="M63" s="20">
        <v>0.25147368421052657</v>
      </c>
      <c r="N63" s="21">
        <v>0.4611916510802351</v>
      </c>
      <c r="O63" s="21">
        <f t="shared" si="3"/>
        <v>30023.576485323305</v>
      </c>
      <c r="Q63" s="20" t="str">
        <f t="shared" si="7"/>
        <v>Y</v>
      </c>
      <c r="R63" s="23">
        <v>0.29</v>
      </c>
      <c r="S63" s="23">
        <f t="shared" si="4"/>
        <v>18879</v>
      </c>
      <c r="U63" s="125">
        <f t="shared" si="5"/>
        <v>5.671191651080235</v>
      </c>
      <c r="V63" s="125">
        <f t="shared" si="6"/>
        <v>369194.5764853233</v>
      </c>
      <c r="X63" s="126"/>
    </row>
    <row r="64" spans="2:24" ht="15">
      <c r="B64" s="128"/>
      <c r="C64" s="99"/>
      <c r="D64" s="72"/>
      <c r="E64" s="20"/>
      <c r="F64" s="20"/>
      <c r="G64" s="122"/>
      <c r="H64" s="123"/>
      <c r="J64" s="127"/>
      <c r="K64" s="23"/>
      <c r="M64" s="20"/>
      <c r="N64" s="80"/>
      <c r="O64" s="21"/>
      <c r="Q64" s="20"/>
      <c r="R64" s="23"/>
      <c r="S64" s="23"/>
      <c r="U64" s="125"/>
      <c r="V64" s="125"/>
      <c r="X64" s="126"/>
    </row>
    <row r="65" spans="2:24" s="107" customFormat="1" ht="15">
      <c r="B65" s="130" t="s">
        <v>108</v>
      </c>
      <c r="C65" s="131"/>
      <c r="D65" s="132"/>
      <c r="E65" s="168">
        <f>SUM(E6:E64)</f>
        <v>690300</v>
      </c>
      <c r="F65" s="168">
        <f>SUM(F6:F64)</f>
        <v>567645</v>
      </c>
      <c r="G65" s="168">
        <v>588600</v>
      </c>
      <c r="H65" s="168">
        <f>SUM(H6:H64)</f>
        <v>1839885</v>
      </c>
      <c r="J65" s="133"/>
      <c r="K65" s="126">
        <f>SUM(K6:K63)</f>
        <v>9052234.2</v>
      </c>
      <c r="M65" s="123"/>
      <c r="N65" s="134"/>
      <c r="O65" s="125">
        <f>SUM(O6:O63)</f>
        <v>745682.8511938519</v>
      </c>
      <c r="Q65" s="123"/>
      <c r="R65" s="126"/>
      <c r="S65" s="125">
        <f>SUM(S6:S63)</f>
        <v>232785.90000000005</v>
      </c>
      <c r="U65" s="125"/>
      <c r="V65" s="125">
        <f>SUM(V6:V63)</f>
        <v>10030702.95119385</v>
      </c>
      <c r="X65" s="126"/>
    </row>
    <row r="66" spans="2:24" ht="15">
      <c r="B66" s="128" t="s">
        <v>169</v>
      </c>
      <c r="C66" s="99"/>
      <c r="D66" s="72"/>
      <c r="E66" s="20"/>
      <c r="F66" s="20"/>
      <c r="G66" s="122"/>
      <c r="H66" s="123"/>
      <c r="J66" s="127"/>
      <c r="K66" s="23"/>
      <c r="M66" s="20"/>
      <c r="N66" s="80"/>
      <c r="O66" s="21"/>
      <c r="Q66" s="20"/>
      <c r="R66" s="23"/>
      <c r="S66" s="23"/>
      <c r="U66" s="125"/>
      <c r="V66" s="125"/>
      <c r="X66" s="126"/>
    </row>
    <row r="67" spans="2:24" ht="15">
      <c r="B67" s="135"/>
      <c r="C67" s="136"/>
      <c r="D67" s="72"/>
      <c r="E67" s="24"/>
      <c r="F67" s="24"/>
      <c r="G67" s="137"/>
      <c r="H67" s="138"/>
      <c r="J67" s="139"/>
      <c r="K67" s="27"/>
      <c r="M67" s="24"/>
      <c r="N67" s="140"/>
      <c r="O67" s="25"/>
      <c r="Q67" s="24"/>
      <c r="R67" s="27"/>
      <c r="S67" s="27"/>
      <c r="U67" s="141"/>
      <c r="V67" s="141"/>
      <c r="X67" s="142"/>
    </row>
    <row r="68" spans="2:22" ht="15">
      <c r="B68" s="129"/>
      <c r="C68" s="72"/>
      <c r="D68" s="72"/>
      <c r="K68" s="103"/>
      <c r="N68" s="144"/>
      <c r="O68" s="145"/>
      <c r="S68" s="103"/>
      <c r="U68" s="146"/>
      <c r="V68" s="146"/>
    </row>
    <row r="69" spans="2:22" ht="15">
      <c r="B69" s="129"/>
      <c r="C69" s="72"/>
      <c r="D69" s="72"/>
      <c r="K69" s="103"/>
      <c r="N69" s="144"/>
      <c r="O69" s="145"/>
      <c r="S69" s="103"/>
      <c r="U69" s="146"/>
      <c r="V69" s="146"/>
    </row>
    <row r="70" spans="2:22" ht="15">
      <c r="B70" s="129"/>
      <c r="C70" s="72"/>
      <c r="D70" s="72"/>
      <c r="K70" s="103"/>
      <c r="N70" s="144"/>
      <c r="O70" s="145"/>
      <c r="R70" s="146">
        <f>AVERAGE(R6:R63)</f>
        <v>0.12</v>
      </c>
      <c r="S70" s="103"/>
      <c r="U70" s="146">
        <f>AVERAGE(U6:U63)</f>
        <v>5.437795355099174</v>
      </c>
      <c r="V70" s="146"/>
    </row>
    <row r="71" spans="2:22" ht="15">
      <c r="B71" s="129"/>
      <c r="C71" s="72"/>
      <c r="D71" s="72"/>
      <c r="K71" s="103"/>
      <c r="N71" s="144"/>
      <c r="O71" s="145"/>
      <c r="R71" s="146">
        <f>MAX(R6:R63)</f>
        <v>0.29</v>
      </c>
      <c r="S71" s="103"/>
      <c r="U71" s="146">
        <f>MAX(U6:U63)</f>
        <v>5.79612239773767</v>
      </c>
      <c r="V71" s="146"/>
    </row>
    <row r="72" spans="2:22" ht="15">
      <c r="B72" s="129"/>
      <c r="C72" s="72"/>
      <c r="D72" s="72"/>
      <c r="K72" s="103"/>
      <c r="N72" s="144"/>
      <c r="O72" s="145"/>
      <c r="R72" s="146">
        <f>MIN(R6:R63)</f>
        <v>0</v>
      </c>
      <c r="S72" s="103"/>
      <c r="U72" s="146">
        <f>MIN(U6:U63)</f>
        <v>5.043540107363223</v>
      </c>
      <c r="V72" s="146"/>
    </row>
    <row r="73" spans="2:22" ht="15">
      <c r="B73" s="129"/>
      <c r="C73" s="72"/>
      <c r="D73" s="72"/>
      <c r="K73" s="103"/>
      <c r="N73" s="144"/>
      <c r="O73" s="145"/>
      <c r="S73" s="103"/>
      <c r="U73" s="146"/>
      <c r="V73" s="146"/>
    </row>
    <row r="74" spans="2:22" ht="15">
      <c r="B74" s="129"/>
      <c r="C74" s="72"/>
      <c r="D74" s="72"/>
      <c r="K74" s="103"/>
      <c r="N74" s="144"/>
      <c r="O74" s="145"/>
      <c r="S74" s="103"/>
      <c r="U74" s="146"/>
      <c r="V74" s="146"/>
    </row>
    <row r="76" spans="11:21" ht="15">
      <c r="K76" s="145"/>
      <c r="O76" s="145"/>
      <c r="S76" s="145"/>
      <c r="U76" s="147"/>
    </row>
    <row r="77" spans="11:21" ht="15">
      <c r="K77" s="103"/>
      <c r="O77" s="145"/>
      <c r="S77" s="103"/>
      <c r="U77" s="146"/>
    </row>
    <row r="78" ht="15">
      <c r="U78" s="146"/>
    </row>
  </sheetData>
  <sheetProtection/>
  <mergeCells count="4">
    <mergeCell ref="E3:H3"/>
    <mergeCell ref="J3:K3"/>
    <mergeCell ref="M3:O3"/>
    <mergeCell ref="Q3:S3"/>
  </mergeCells>
  <printOptions/>
  <pageMargins left="0.5905511811023623" right="0.3937007874015748" top="0.984251968503937" bottom="0.984251968503937" header="0.5118110236220472" footer="0.5118110236220472"/>
  <pageSetup fitToHeight="2" horizontalDpi="600" verticalDpi="600" orientation="landscape" paperSize="8" scale="65" r:id="rId1"/>
  <headerFooter alignWithMargins="0">
    <oddFooter>&amp;L&amp;D&amp;C&amp;F</oddFooter>
  </headerFooter>
</worksheet>
</file>

<file path=xl/worksheets/sheet6.xml><?xml version="1.0" encoding="utf-8"?>
<worksheet xmlns="http://schemas.openxmlformats.org/spreadsheetml/2006/main" xmlns:r="http://schemas.openxmlformats.org/officeDocument/2006/relationships">
  <sheetPr>
    <tabColor rgb="FF92D050"/>
  </sheetPr>
  <dimension ref="A1:X78"/>
  <sheetViews>
    <sheetView view="pageBreakPreview" zoomScale="90" zoomScaleNormal="110" zoomScaleSheetLayoutView="90" zoomScalePageLayoutView="0" workbookViewId="0" topLeftCell="A1">
      <pane ySplit="5" topLeftCell="A45" activePane="bottomLeft" state="frozen"/>
      <selection pane="topLeft" activeCell="B1" sqref="B1"/>
      <selection pane="bottomLeft" activeCell="A64" sqref="A64"/>
    </sheetView>
  </sheetViews>
  <sheetFormatPr defaultColWidth="9.140625" defaultRowHeight="12.75"/>
  <cols>
    <col min="1" max="1" width="5.57421875" style="10" bestFit="1" customWidth="1"/>
    <col min="2" max="2" width="55.00390625" style="10" customWidth="1"/>
    <col min="3" max="3" width="9.28125" style="10" customWidth="1"/>
    <col min="4" max="4" width="0.9921875" style="10" customWidth="1"/>
    <col min="5" max="5" width="14.7109375" style="10" customWidth="1"/>
    <col min="6" max="6" width="15.8515625" style="10" customWidth="1"/>
    <col min="7" max="7" width="14.7109375" style="106" customWidth="1"/>
    <col min="8" max="8" width="14.7109375" style="107" customWidth="1"/>
    <col min="9" max="9" width="2.8515625" style="107" customWidth="1"/>
    <col min="10" max="10" width="14.8515625" style="143" customWidth="1"/>
    <col min="11" max="11" width="14.8515625" style="10" customWidth="1"/>
    <col min="12" max="12" width="3.140625" style="10" customWidth="1"/>
    <col min="13" max="13" width="14.7109375" style="10" customWidth="1"/>
    <col min="14" max="14" width="12.421875" style="10" customWidth="1"/>
    <col min="15" max="15" width="14.28125" style="10" customWidth="1"/>
    <col min="16" max="16" width="2.8515625" style="10" customWidth="1"/>
    <col min="17" max="17" width="14.8515625" style="10" customWidth="1"/>
    <col min="18" max="18" width="14.8515625" style="103" customWidth="1"/>
    <col min="19" max="19" width="14.8515625" style="10" customWidth="1"/>
    <col min="20" max="20" width="1.8515625" style="10" customWidth="1"/>
    <col min="21" max="21" width="14.7109375" style="107" customWidth="1"/>
    <col min="22" max="22" width="16.140625" style="107" bestFit="1" customWidth="1"/>
    <col min="23" max="23" width="2.140625" style="10" customWidth="1"/>
    <col min="24" max="24" width="14.8515625" style="108" customWidth="1"/>
    <col min="25" max="25" width="3.57421875" style="10" customWidth="1"/>
    <col min="26" max="16384" width="9.140625" style="10" customWidth="1"/>
  </cols>
  <sheetData>
    <row r="1" spans="2:10" ht="21">
      <c r="B1" s="105" t="s">
        <v>274</v>
      </c>
      <c r="J1" s="107"/>
    </row>
    <row r="2" ht="15">
      <c r="J2" s="107"/>
    </row>
    <row r="3" spans="2:19" ht="15">
      <c r="B3" s="109"/>
      <c r="C3" s="110"/>
      <c r="E3" s="304" t="s">
        <v>237</v>
      </c>
      <c r="F3" s="305"/>
      <c r="G3" s="305"/>
      <c r="H3" s="306"/>
      <c r="J3" s="307" t="s">
        <v>160</v>
      </c>
      <c r="K3" s="308"/>
      <c r="M3" s="309" t="s">
        <v>161</v>
      </c>
      <c r="N3" s="309"/>
      <c r="O3" s="309"/>
      <c r="Q3" s="310" t="s">
        <v>162</v>
      </c>
      <c r="R3" s="311"/>
      <c r="S3" s="312"/>
    </row>
    <row r="4" spans="2:19" ht="15">
      <c r="B4" s="88"/>
      <c r="C4" s="98"/>
      <c r="E4" s="97"/>
      <c r="F4" s="96"/>
      <c r="G4" s="10" t="s">
        <v>163</v>
      </c>
      <c r="H4" s="111"/>
      <c r="J4" s="112"/>
      <c r="K4" s="113">
        <v>0.91</v>
      </c>
      <c r="M4" s="88"/>
      <c r="O4" s="201">
        <v>0.07</v>
      </c>
      <c r="Q4" s="97"/>
      <c r="R4" s="114"/>
      <c r="S4" s="113">
        <v>0.02</v>
      </c>
    </row>
    <row r="5" spans="2:24" s="95" customFormat="1" ht="30">
      <c r="B5" s="116" t="s">
        <v>116</v>
      </c>
      <c r="C5" s="117" t="s">
        <v>164</v>
      </c>
      <c r="E5" s="171" t="s">
        <v>297</v>
      </c>
      <c r="F5" s="171" t="s">
        <v>296</v>
      </c>
      <c r="G5" s="171" t="s">
        <v>298</v>
      </c>
      <c r="H5" s="119" t="s">
        <v>165</v>
      </c>
      <c r="I5" s="120"/>
      <c r="J5" s="170" t="s">
        <v>228</v>
      </c>
      <c r="K5" s="171" t="s">
        <v>229</v>
      </c>
      <c r="M5" s="118" t="s">
        <v>166</v>
      </c>
      <c r="N5" s="118" t="s">
        <v>231</v>
      </c>
      <c r="O5" s="171" t="s">
        <v>230</v>
      </c>
      <c r="Q5" s="118" t="s">
        <v>167</v>
      </c>
      <c r="R5" s="172" t="s">
        <v>232</v>
      </c>
      <c r="S5" s="171" t="s">
        <v>233</v>
      </c>
      <c r="U5" s="119" t="s">
        <v>234</v>
      </c>
      <c r="V5" s="119" t="s">
        <v>235</v>
      </c>
      <c r="X5" s="121" t="s">
        <v>236</v>
      </c>
    </row>
    <row r="6" spans="1:24" ht="15">
      <c r="A6" s="10">
        <v>2001</v>
      </c>
      <c r="B6" s="174" t="s">
        <v>154</v>
      </c>
      <c r="C6" s="99" t="s">
        <v>157</v>
      </c>
      <c r="D6" s="72"/>
      <c r="E6" s="165">
        <f>VLOOKUP(A6,'[4]EYSFF Additional Hrs'!$A$134:$G$191,5,0)</f>
        <v>3120</v>
      </c>
      <c r="F6" s="165">
        <f>VLOOKUP(A6,'[4]EYSFF Additional Hrs'!$A$134:$G$191,6,0)</f>
        <v>3120</v>
      </c>
      <c r="G6" s="165">
        <f>VLOOKUP(A6,'[4]EYSFF Additional Hrs'!$A$134:$G$191,7,0)</f>
        <v>2880</v>
      </c>
      <c r="H6" s="168">
        <f>SUM(E6:G6)</f>
        <v>9120</v>
      </c>
      <c r="J6" s="124">
        <v>4.92</v>
      </c>
      <c r="K6" s="23">
        <f aca="true" t="shared" si="0" ref="K6:K63">J6*H6</f>
        <v>44870.4</v>
      </c>
      <c r="M6" s="169">
        <v>0.30678571428571416</v>
      </c>
      <c r="N6" s="21">
        <v>0.5626314759074708</v>
      </c>
      <c r="O6" s="21">
        <f>H6*N6</f>
        <v>5131.199060276133</v>
      </c>
      <c r="Q6" s="20" t="str">
        <f aca="true" t="shared" si="1" ref="Q6:Q63">IF(M6&gt;0.25,"Y","N")</f>
        <v>Y</v>
      </c>
      <c r="R6" s="23">
        <v>0.29</v>
      </c>
      <c r="S6" s="23">
        <f>H6*R6</f>
        <v>2644.7999999999997</v>
      </c>
      <c r="U6" s="125">
        <f>J6+N6+R6</f>
        <v>5.77263147590747</v>
      </c>
      <c r="V6" s="125">
        <f>S6+O6+K6</f>
        <v>52646.39906027613</v>
      </c>
      <c r="X6" s="126"/>
    </row>
    <row r="7" spans="1:24" ht="15">
      <c r="A7" s="10">
        <v>3401</v>
      </c>
      <c r="B7" s="174" t="s">
        <v>32</v>
      </c>
      <c r="C7" s="99" t="s">
        <v>157</v>
      </c>
      <c r="D7" s="72"/>
      <c r="E7" s="165" t="e">
        <f>VLOOKUP(A7,'[4]EYSFF Additional Hrs'!$A$134:$G$191,5,0)</f>
        <v>#N/A</v>
      </c>
      <c r="F7" s="165" t="e">
        <f>VLOOKUP(A7,'[4]EYSFF Additional Hrs'!$A$134:$G$191,6,0)</f>
        <v>#N/A</v>
      </c>
      <c r="G7" s="165" t="e">
        <f>VLOOKUP(A7,'[4]EYSFF Additional Hrs'!$A$134:$G$191,7,0)</f>
        <v>#N/A</v>
      </c>
      <c r="H7" s="168" t="e">
        <f aca="true" t="shared" si="2" ref="H7:H63">SUM(E7:G7)</f>
        <v>#N/A</v>
      </c>
      <c r="J7" s="124">
        <v>4.92</v>
      </c>
      <c r="K7" s="23" t="e">
        <f t="shared" si="0"/>
        <v>#N/A</v>
      </c>
      <c r="M7" s="169">
        <v>0.26847457627118637</v>
      </c>
      <c r="N7" s="21">
        <v>0.4923705376659526</v>
      </c>
      <c r="O7" s="21" t="e">
        <f aca="true" t="shared" si="3" ref="O7:O63">H7*N7</f>
        <v>#N/A</v>
      </c>
      <c r="Q7" s="20" t="str">
        <f t="shared" si="1"/>
        <v>Y</v>
      </c>
      <c r="R7" s="23">
        <v>0.29</v>
      </c>
      <c r="S7" s="23" t="e">
        <f aca="true" t="shared" si="4" ref="S7:S63">H7*R7</f>
        <v>#N/A</v>
      </c>
      <c r="U7" s="125">
        <f aca="true" t="shared" si="5" ref="U7:U63">J7+N7+R7</f>
        <v>5.702370537665953</v>
      </c>
      <c r="V7" s="125" t="e">
        <f aca="true" t="shared" si="6" ref="V7:V63">S7+O7+K7</f>
        <v>#N/A</v>
      </c>
      <c r="X7" s="126"/>
    </row>
    <row r="8" spans="1:24" ht="15">
      <c r="A8" s="10">
        <v>2003</v>
      </c>
      <c r="B8" s="174" t="s">
        <v>7</v>
      </c>
      <c r="C8" s="99" t="s">
        <v>157</v>
      </c>
      <c r="D8" s="72"/>
      <c r="E8" s="165">
        <f>VLOOKUP(A8,'[4]EYSFF Additional Hrs'!$A$134:$G$191,5,0)</f>
        <v>0</v>
      </c>
      <c r="F8" s="165">
        <f>VLOOKUP(A8,'[4]EYSFF Additional Hrs'!$A$134:$G$191,6,0)</f>
        <v>0</v>
      </c>
      <c r="G8" s="165">
        <f>VLOOKUP(A8,'[4]EYSFF Additional Hrs'!$A$134:$G$191,7,0)</f>
        <v>0</v>
      </c>
      <c r="H8" s="168">
        <f t="shared" si="2"/>
        <v>0</v>
      </c>
      <c r="J8" s="124">
        <v>4.92</v>
      </c>
      <c r="K8" s="23">
        <f t="shared" si="0"/>
        <v>0</v>
      </c>
      <c r="M8" s="169">
        <v>0.19150000000000011</v>
      </c>
      <c r="N8" s="21">
        <v>0.35120255806936684</v>
      </c>
      <c r="O8" s="21">
        <f t="shared" si="3"/>
        <v>0</v>
      </c>
      <c r="Q8" s="20" t="str">
        <f t="shared" si="1"/>
        <v>N</v>
      </c>
      <c r="R8" s="23">
        <v>0</v>
      </c>
      <c r="S8" s="23">
        <f t="shared" si="4"/>
        <v>0</v>
      </c>
      <c r="U8" s="125">
        <f t="shared" si="5"/>
        <v>5.271202558069366</v>
      </c>
      <c r="V8" s="125">
        <f t="shared" si="6"/>
        <v>0</v>
      </c>
      <c r="X8" s="126"/>
    </row>
    <row r="9" spans="1:24" ht="15">
      <c r="A9" s="10">
        <v>2004</v>
      </c>
      <c r="B9" s="128" t="s">
        <v>128</v>
      </c>
      <c r="C9" s="99" t="s">
        <v>157</v>
      </c>
      <c r="D9" s="72"/>
      <c r="E9" s="165">
        <f>VLOOKUP(A9,'[4]EYSFF Additional Hrs'!$A$134:$G$191,5,0)</f>
        <v>4095</v>
      </c>
      <c r="F9" s="165">
        <f>VLOOKUP(A9,'[4]EYSFF Additional Hrs'!$A$134:$G$191,6,0)</f>
        <v>4095</v>
      </c>
      <c r="G9" s="165">
        <f>VLOOKUP(A9,'[4]EYSFF Additional Hrs'!$A$134:$G$191,7,0)</f>
        <v>3780</v>
      </c>
      <c r="H9" s="168">
        <f t="shared" si="2"/>
        <v>11970</v>
      </c>
      <c r="J9" s="124">
        <v>4.92</v>
      </c>
      <c r="K9" s="23">
        <f t="shared" si="0"/>
        <v>58892.4</v>
      </c>
      <c r="M9" s="169">
        <v>0.06736263736263735</v>
      </c>
      <c r="N9" s="21">
        <v>0.12354010736322366</v>
      </c>
      <c r="O9" s="21">
        <f t="shared" si="3"/>
        <v>1478.775085137787</v>
      </c>
      <c r="Q9" s="20" t="str">
        <f t="shared" si="1"/>
        <v>N</v>
      </c>
      <c r="R9" s="23">
        <v>0</v>
      </c>
      <c r="S9" s="23">
        <f t="shared" si="4"/>
        <v>0</v>
      </c>
      <c r="U9" s="125">
        <f t="shared" si="5"/>
        <v>5.043540107363223</v>
      </c>
      <c r="V9" s="125">
        <f t="shared" si="6"/>
        <v>60371.17508513779</v>
      </c>
      <c r="X9" s="126"/>
    </row>
    <row r="10" spans="1:24" ht="15">
      <c r="A10" s="72">
        <v>2002</v>
      </c>
      <c r="B10" s="174" t="s">
        <v>147</v>
      </c>
      <c r="C10" s="99" t="s">
        <v>157</v>
      </c>
      <c r="D10" s="72"/>
      <c r="E10" s="165">
        <f>VLOOKUP(A10,'[4]EYSFF Additional Hrs'!$A$134:$G$191,5,0)</f>
        <v>0</v>
      </c>
      <c r="F10" s="165">
        <f>VLOOKUP(A10,'[4]EYSFF Additional Hrs'!$A$134:$G$191,6,0)</f>
        <v>0</v>
      </c>
      <c r="G10" s="165">
        <f>VLOOKUP(A10,'[4]EYSFF Additional Hrs'!$A$134:$G$191,7,0)</f>
        <v>0</v>
      </c>
      <c r="H10" s="168">
        <f t="shared" si="2"/>
        <v>0</v>
      </c>
      <c r="J10" s="124">
        <v>4.92</v>
      </c>
      <c r="K10" s="23">
        <f t="shared" si="0"/>
        <v>0</v>
      </c>
      <c r="M10" s="169">
        <v>0.3086842105263157</v>
      </c>
      <c r="N10" s="21">
        <v>0.566113234320966</v>
      </c>
      <c r="O10" s="21">
        <f t="shared" si="3"/>
        <v>0</v>
      </c>
      <c r="Q10" s="20" t="str">
        <f t="shared" si="1"/>
        <v>Y</v>
      </c>
      <c r="R10" s="23">
        <v>0.29</v>
      </c>
      <c r="S10" s="23">
        <f t="shared" si="4"/>
        <v>0</v>
      </c>
      <c r="U10" s="125">
        <f t="shared" si="5"/>
        <v>5.776113234320966</v>
      </c>
      <c r="V10" s="125">
        <f t="shared" si="6"/>
        <v>0</v>
      </c>
      <c r="X10" s="126"/>
    </row>
    <row r="11" spans="1:24" ht="15">
      <c r="A11" s="72">
        <v>3300</v>
      </c>
      <c r="B11" s="174" t="s">
        <v>98</v>
      </c>
      <c r="C11" s="99" t="s">
        <v>157</v>
      </c>
      <c r="D11" s="72"/>
      <c r="E11" s="165" t="e">
        <f>VLOOKUP(A11,'[4]EYSFF Additional Hrs'!$A$134:$G$191,5,0)</f>
        <v>#N/A</v>
      </c>
      <c r="F11" s="165" t="e">
        <f>VLOOKUP(A11,'[4]EYSFF Additional Hrs'!$A$134:$G$191,6,0)</f>
        <v>#N/A</v>
      </c>
      <c r="G11" s="165" t="e">
        <f>VLOOKUP(A11,'[4]EYSFF Additional Hrs'!$A$134:$G$191,7,0)</f>
        <v>#N/A</v>
      </c>
      <c r="H11" s="168" t="e">
        <f t="shared" si="2"/>
        <v>#N/A</v>
      </c>
      <c r="J11" s="124">
        <v>4.92</v>
      </c>
      <c r="K11" s="23" t="e">
        <f t="shared" si="0"/>
        <v>#N/A</v>
      </c>
      <c r="M11" s="169">
        <v>0.14106382978723406</v>
      </c>
      <c r="N11" s="21">
        <v>0.25870484528636195</v>
      </c>
      <c r="O11" s="21" t="e">
        <f t="shared" si="3"/>
        <v>#N/A</v>
      </c>
      <c r="Q11" s="20" t="str">
        <f t="shared" si="1"/>
        <v>N</v>
      </c>
      <c r="R11" s="23">
        <v>0</v>
      </c>
      <c r="S11" s="23" t="e">
        <f t="shared" si="4"/>
        <v>#N/A</v>
      </c>
      <c r="U11" s="125">
        <f t="shared" si="5"/>
        <v>5.1787048452863615</v>
      </c>
      <c r="V11" s="125" t="e">
        <f t="shared" si="6"/>
        <v>#N/A</v>
      </c>
      <c r="X11" s="126"/>
    </row>
    <row r="12" spans="1:24" ht="15">
      <c r="A12" s="72">
        <v>5206</v>
      </c>
      <c r="B12" s="174" t="s">
        <v>42</v>
      </c>
      <c r="C12" s="99" t="s">
        <v>157</v>
      </c>
      <c r="D12" s="72"/>
      <c r="E12" s="165" t="e">
        <f>VLOOKUP(A12,'[4]EYSFF Additional Hrs'!$A$134:$G$191,5,0)</f>
        <v>#N/A</v>
      </c>
      <c r="F12" s="165" t="e">
        <f>VLOOKUP(A12,'[4]EYSFF Additional Hrs'!$A$134:$G$191,6,0)</f>
        <v>#N/A</v>
      </c>
      <c r="G12" s="165" t="e">
        <f>VLOOKUP(A12,'[4]EYSFF Additional Hrs'!$A$134:$G$191,7,0)</f>
        <v>#N/A</v>
      </c>
      <c r="H12" s="168" t="e">
        <f t="shared" si="2"/>
        <v>#N/A</v>
      </c>
      <c r="J12" s="124">
        <v>4.92</v>
      </c>
      <c r="K12" s="23" t="e">
        <f t="shared" si="0"/>
        <v>#N/A</v>
      </c>
      <c r="M12" s="169">
        <v>0.2551020408163266</v>
      </c>
      <c r="N12" s="21">
        <v>0.4678458971457435</v>
      </c>
      <c r="O12" s="21" t="e">
        <f t="shared" si="3"/>
        <v>#N/A</v>
      </c>
      <c r="Q12" s="20" t="str">
        <f t="shared" si="1"/>
        <v>Y</v>
      </c>
      <c r="R12" s="23">
        <v>0.29</v>
      </c>
      <c r="S12" s="23" t="e">
        <f t="shared" si="4"/>
        <v>#N/A</v>
      </c>
      <c r="U12" s="125">
        <f t="shared" si="5"/>
        <v>5.677845897145743</v>
      </c>
      <c r="V12" s="125" t="e">
        <f t="shared" si="6"/>
        <v>#N/A</v>
      </c>
      <c r="X12" s="126"/>
    </row>
    <row r="13" spans="1:24" ht="15">
      <c r="A13" s="72">
        <v>2084</v>
      </c>
      <c r="B13" s="174" t="s">
        <v>29</v>
      </c>
      <c r="C13" s="99" t="s">
        <v>157</v>
      </c>
      <c r="D13" s="72"/>
      <c r="E13" s="165" t="e">
        <f>VLOOKUP(A13,'[4]EYSFF Additional Hrs'!$A$134:$G$191,5,0)</f>
        <v>#N/A</v>
      </c>
      <c r="F13" s="165" t="e">
        <f>VLOOKUP(A13,'[4]EYSFF Additional Hrs'!$A$134:$G$191,6,0)</f>
        <v>#N/A</v>
      </c>
      <c r="G13" s="165" t="e">
        <f>VLOOKUP(A13,'[4]EYSFF Additional Hrs'!$A$134:$G$191,7,0)</f>
        <v>#N/A</v>
      </c>
      <c r="H13" s="168" t="e">
        <f t="shared" si="2"/>
        <v>#N/A</v>
      </c>
      <c r="J13" s="124">
        <v>4.92</v>
      </c>
      <c r="K13" s="23" t="e">
        <f t="shared" si="0"/>
        <v>#N/A</v>
      </c>
      <c r="M13" s="169">
        <v>0.295966386554622</v>
      </c>
      <c r="N13" s="21">
        <v>0.5427893057991136</v>
      </c>
      <c r="O13" s="21" t="e">
        <f t="shared" si="3"/>
        <v>#N/A</v>
      </c>
      <c r="Q13" s="20" t="str">
        <f t="shared" si="1"/>
        <v>Y</v>
      </c>
      <c r="R13" s="23">
        <v>0.29</v>
      </c>
      <c r="S13" s="23" t="e">
        <f t="shared" si="4"/>
        <v>#N/A</v>
      </c>
      <c r="U13" s="125">
        <f t="shared" si="5"/>
        <v>5.752789305799113</v>
      </c>
      <c r="V13" s="125" t="e">
        <f t="shared" si="6"/>
        <v>#N/A</v>
      </c>
      <c r="X13" s="126"/>
    </row>
    <row r="14" spans="1:24" ht="15">
      <c r="A14" s="10">
        <v>2010</v>
      </c>
      <c r="B14" s="174" t="s">
        <v>8</v>
      </c>
      <c r="C14" s="99" t="s">
        <v>157</v>
      </c>
      <c r="D14" s="72"/>
      <c r="E14" s="165">
        <f>VLOOKUP(A14,'[4]EYSFF Additional Hrs'!$A$134:$G$191,5,0)</f>
        <v>7686.25</v>
      </c>
      <c r="F14" s="165">
        <f>VLOOKUP(A14,'[4]EYSFF Additional Hrs'!$A$134:$G$191,6,0)</f>
        <v>7686.25</v>
      </c>
      <c r="G14" s="165">
        <f>VLOOKUP(A14,'[4]EYSFF Additional Hrs'!$A$134:$G$191,7,0)</f>
        <v>7095</v>
      </c>
      <c r="H14" s="168">
        <f t="shared" si="2"/>
        <v>22467.5</v>
      </c>
      <c r="J14" s="124">
        <v>4.92</v>
      </c>
      <c r="K14" s="23">
        <f t="shared" si="0"/>
        <v>110540.09999999999</v>
      </c>
      <c r="M14" s="169">
        <v>0.2758999999999998</v>
      </c>
      <c r="N14" s="21">
        <v>0.5059884374482412</v>
      </c>
      <c r="O14" s="21">
        <f t="shared" si="3"/>
        <v>11368.29521836836</v>
      </c>
      <c r="Q14" s="20" t="str">
        <f t="shared" si="1"/>
        <v>Y</v>
      </c>
      <c r="R14" s="23">
        <v>0.29</v>
      </c>
      <c r="S14" s="23">
        <f t="shared" si="4"/>
        <v>6515.575</v>
      </c>
      <c r="U14" s="125">
        <f t="shared" si="5"/>
        <v>5.7159884374482415</v>
      </c>
      <c r="V14" s="125">
        <f t="shared" si="6"/>
        <v>128423.97021836835</v>
      </c>
      <c r="X14" s="126"/>
    </row>
    <row r="15" spans="1:24" ht="15">
      <c r="A15" s="10">
        <v>2012</v>
      </c>
      <c r="B15" s="174" t="s">
        <v>10</v>
      </c>
      <c r="C15" s="99" t="s">
        <v>157</v>
      </c>
      <c r="D15" s="72"/>
      <c r="E15" s="165">
        <f>VLOOKUP(A15,'[4]EYSFF Additional Hrs'!$A$134:$G$191,5,0)</f>
        <v>5265</v>
      </c>
      <c r="F15" s="165">
        <f>VLOOKUP(A15,'[4]EYSFF Additional Hrs'!$A$134:$G$191,6,0)</f>
        <v>5265</v>
      </c>
      <c r="G15" s="165">
        <f>VLOOKUP(A15,'[4]EYSFF Additional Hrs'!$A$134:$G$191,7,0)</f>
        <v>4860</v>
      </c>
      <c r="H15" s="168">
        <f t="shared" si="2"/>
        <v>15390</v>
      </c>
      <c r="J15" s="124">
        <v>4.92</v>
      </c>
      <c r="K15" s="23">
        <f t="shared" si="0"/>
        <v>75718.8</v>
      </c>
      <c r="M15" s="169">
        <v>0.15199999999999983</v>
      </c>
      <c r="N15" s="21">
        <v>0.27876129935531946</v>
      </c>
      <c r="O15" s="21">
        <f t="shared" si="3"/>
        <v>4290.136397078367</v>
      </c>
      <c r="Q15" s="20" t="str">
        <f t="shared" si="1"/>
        <v>N</v>
      </c>
      <c r="R15" s="23">
        <v>0</v>
      </c>
      <c r="S15" s="23">
        <f t="shared" si="4"/>
        <v>0</v>
      </c>
      <c r="U15" s="125">
        <f t="shared" si="5"/>
        <v>5.198761299355319</v>
      </c>
      <c r="V15" s="125">
        <f t="shared" si="6"/>
        <v>80008.93639707837</v>
      </c>
      <c r="X15" s="126"/>
    </row>
    <row r="16" spans="1:24" ht="15">
      <c r="A16" s="72">
        <v>3410</v>
      </c>
      <c r="B16" s="129" t="s">
        <v>129</v>
      </c>
      <c r="C16" s="99" t="s">
        <v>157</v>
      </c>
      <c r="D16" s="72"/>
      <c r="E16" s="165" t="e">
        <f>VLOOKUP(A16,'[4]EYSFF Additional Hrs'!$A$134:$G$191,5,0)</f>
        <v>#N/A</v>
      </c>
      <c r="F16" s="165" t="e">
        <f>VLOOKUP(A16,'[4]EYSFF Additional Hrs'!$A$134:$G$191,6,0)</f>
        <v>#N/A</v>
      </c>
      <c r="G16" s="165" t="e">
        <f>VLOOKUP(A16,'[4]EYSFF Additional Hrs'!$A$134:$G$191,7,0)</f>
        <v>#N/A</v>
      </c>
      <c r="H16" s="168" t="e">
        <f t="shared" si="2"/>
        <v>#N/A</v>
      </c>
      <c r="J16" s="124">
        <v>4.92</v>
      </c>
      <c r="K16" s="23" t="e">
        <f t="shared" si="0"/>
        <v>#N/A</v>
      </c>
      <c r="M16" s="169">
        <v>0.25600000000000006</v>
      </c>
      <c r="N16" s="21">
        <v>0.4694927147036965</v>
      </c>
      <c r="O16" s="21" t="e">
        <f t="shared" si="3"/>
        <v>#N/A</v>
      </c>
      <c r="Q16" s="20" t="str">
        <f t="shared" si="1"/>
        <v>Y</v>
      </c>
      <c r="R16" s="23">
        <v>0.29</v>
      </c>
      <c r="S16" s="23" t="e">
        <f t="shared" si="4"/>
        <v>#N/A</v>
      </c>
      <c r="U16" s="125">
        <f t="shared" si="5"/>
        <v>5.679492714703697</v>
      </c>
      <c r="V16" s="125" t="e">
        <f t="shared" si="6"/>
        <v>#N/A</v>
      </c>
      <c r="X16" s="126"/>
    </row>
    <row r="17" spans="1:24" ht="15">
      <c r="A17" s="72">
        <v>2078</v>
      </c>
      <c r="B17" s="174" t="s">
        <v>201</v>
      </c>
      <c r="C17" s="99" t="s">
        <v>157</v>
      </c>
      <c r="D17" s="72"/>
      <c r="E17" s="165" t="e">
        <f>VLOOKUP(A17,'[4]EYSFF Additional Hrs'!$A$134:$G$191,5,0)</f>
        <v>#N/A</v>
      </c>
      <c r="F17" s="165" t="e">
        <f>VLOOKUP(A17,'[4]EYSFF Additional Hrs'!$A$134:$G$191,6,0)</f>
        <v>#N/A</v>
      </c>
      <c r="G17" s="165" t="e">
        <f>VLOOKUP(A17,'[4]EYSFF Additional Hrs'!$A$134:$G$191,7,0)</f>
        <v>#N/A</v>
      </c>
      <c r="H17" s="168" t="e">
        <f t="shared" si="2"/>
        <v>#N/A</v>
      </c>
      <c r="J17" s="124">
        <v>4.92</v>
      </c>
      <c r="K17" s="23" t="e">
        <f t="shared" si="0"/>
        <v>#N/A</v>
      </c>
      <c r="M17" s="169">
        <v>0.2804545454545454</v>
      </c>
      <c r="N17" s="21">
        <v>0.514341273032991</v>
      </c>
      <c r="O17" s="21" t="e">
        <f t="shared" si="3"/>
        <v>#N/A</v>
      </c>
      <c r="Q17" s="20" t="str">
        <f t="shared" si="1"/>
        <v>Y</v>
      </c>
      <c r="R17" s="23">
        <v>0.29</v>
      </c>
      <c r="S17" s="23" t="e">
        <f t="shared" si="4"/>
        <v>#N/A</v>
      </c>
      <c r="U17" s="125">
        <f t="shared" si="5"/>
        <v>5.724341273032991</v>
      </c>
      <c r="V17" s="125" t="e">
        <f t="shared" si="6"/>
        <v>#N/A</v>
      </c>
      <c r="X17" s="126"/>
    </row>
    <row r="18" spans="1:24" ht="15">
      <c r="A18" s="10">
        <v>2016</v>
      </c>
      <c r="B18" s="174" t="s">
        <v>11</v>
      </c>
      <c r="C18" s="99" t="s">
        <v>157</v>
      </c>
      <c r="D18" s="72"/>
      <c r="E18" s="165">
        <f>VLOOKUP(A18,'[4]EYSFF Additional Hrs'!$A$134:$G$191,5,0)</f>
        <v>6435</v>
      </c>
      <c r="F18" s="165">
        <f>VLOOKUP(A18,'[4]EYSFF Additional Hrs'!$A$134:$G$191,6,0)</f>
        <v>6435</v>
      </c>
      <c r="G18" s="165">
        <f>VLOOKUP(A18,'[4]EYSFF Additional Hrs'!$A$134:$G$191,7,0)</f>
        <v>5940</v>
      </c>
      <c r="H18" s="168">
        <f t="shared" si="2"/>
        <v>18810</v>
      </c>
      <c r="J18" s="124">
        <v>4.92</v>
      </c>
      <c r="K18" s="23">
        <f t="shared" si="0"/>
        <v>92545.2</v>
      </c>
      <c r="M18" s="169">
        <v>0.16814516129032267</v>
      </c>
      <c r="N18" s="21">
        <v>0.30837081343157996</v>
      </c>
      <c r="O18" s="21">
        <f t="shared" si="3"/>
        <v>5800.455000648019</v>
      </c>
      <c r="Q18" s="20" t="str">
        <f t="shared" si="1"/>
        <v>N</v>
      </c>
      <c r="R18" s="23">
        <v>0</v>
      </c>
      <c r="S18" s="23">
        <f t="shared" si="4"/>
        <v>0</v>
      </c>
      <c r="U18" s="125">
        <f t="shared" si="5"/>
        <v>5.22837081343158</v>
      </c>
      <c r="V18" s="125">
        <f t="shared" si="6"/>
        <v>98345.65500064801</v>
      </c>
      <c r="X18" s="126"/>
    </row>
    <row r="19" spans="1:24" ht="15">
      <c r="A19" s="72">
        <v>3307</v>
      </c>
      <c r="B19" s="174" t="s">
        <v>31</v>
      </c>
      <c r="C19" s="99" t="s">
        <v>157</v>
      </c>
      <c r="D19" s="72"/>
      <c r="E19" s="165" t="e">
        <f>VLOOKUP(A19,'[4]EYSFF Additional Hrs'!$A$134:$G$191,5,0)</f>
        <v>#N/A</v>
      </c>
      <c r="F19" s="165" t="e">
        <f>VLOOKUP(A19,'[4]EYSFF Additional Hrs'!$A$134:$G$191,6,0)</f>
        <v>#N/A</v>
      </c>
      <c r="G19" s="165" t="e">
        <f>VLOOKUP(A19,'[4]EYSFF Additional Hrs'!$A$134:$G$191,7,0)</f>
        <v>#N/A</v>
      </c>
      <c r="H19" s="168" t="e">
        <f t="shared" si="2"/>
        <v>#N/A</v>
      </c>
      <c r="J19" s="124">
        <v>4.92</v>
      </c>
      <c r="K19" s="23" t="e">
        <f t="shared" si="0"/>
        <v>#N/A</v>
      </c>
      <c r="M19" s="169">
        <v>0.26785714285714296</v>
      </c>
      <c r="N19" s="21">
        <v>0.4912381920030307</v>
      </c>
      <c r="O19" s="21" t="e">
        <f t="shared" si="3"/>
        <v>#N/A</v>
      </c>
      <c r="Q19" s="20" t="str">
        <f t="shared" si="1"/>
        <v>Y</v>
      </c>
      <c r="R19" s="23">
        <v>0.29</v>
      </c>
      <c r="S19" s="23" t="e">
        <f t="shared" si="4"/>
        <v>#N/A</v>
      </c>
      <c r="U19" s="125">
        <f t="shared" si="5"/>
        <v>5.70123819200303</v>
      </c>
      <c r="V19" s="125" t="e">
        <f t="shared" si="6"/>
        <v>#N/A</v>
      </c>
      <c r="X19" s="126"/>
    </row>
    <row r="20" spans="1:24" ht="15">
      <c r="A20" s="10">
        <v>2019</v>
      </c>
      <c r="B20" s="174" t="s">
        <v>156</v>
      </c>
      <c r="C20" s="99" t="s">
        <v>157</v>
      </c>
      <c r="D20" s="72"/>
      <c r="E20" s="165">
        <f>VLOOKUP(A20,'[4]EYSFF Additional Hrs'!$A$134:$G$191,5,0)</f>
        <v>5460</v>
      </c>
      <c r="F20" s="165">
        <f>VLOOKUP(A20,'[4]EYSFF Additional Hrs'!$A$134:$G$191,6,0)</f>
        <v>5460</v>
      </c>
      <c r="G20" s="165">
        <f>VLOOKUP(A20,'[4]EYSFF Additional Hrs'!$A$134:$G$191,7,0)</f>
        <v>5040</v>
      </c>
      <c r="H20" s="168">
        <f t="shared" si="2"/>
        <v>15960</v>
      </c>
      <c r="J20" s="124">
        <v>4.92</v>
      </c>
      <c r="K20" s="23">
        <f t="shared" si="0"/>
        <v>78523.2</v>
      </c>
      <c r="M20" s="169">
        <v>0.1444444444444445</v>
      </c>
      <c r="N20" s="21">
        <v>0.2649047435394121</v>
      </c>
      <c r="O20" s="21">
        <f t="shared" si="3"/>
        <v>4227.879706889017</v>
      </c>
      <c r="Q20" s="20" t="str">
        <f t="shared" si="1"/>
        <v>N</v>
      </c>
      <c r="R20" s="23">
        <v>0</v>
      </c>
      <c r="S20" s="23">
        <f t="shared" si="4"/>
        <v>0</v>
      </c>
      <c r="U20" s="125">
        <f t="shared" si="5"/>
        <v>5.184904743539412</v>
      </c>
      <c r="V20" s="125">
        <f t="shared" si="6"/>
        <v>82751.07970688901</v>
      </c>
      <c r="X20" s="126"/>
    </row>
    <row r="21" spans="1:24" ht="15">
      <c r="A21" s="10">
        <v>2076</v>
      </c>
      <c r="B21" s="174" t="s">
        <v>26</v>
      </c>
      <c r="C21" s="99" t="s">
        <v>157</v>
      </c>
      <c r="D21" s="72"/>
      <c r="E21" s="165" t="e">
        <f>VLOOKUP(A21,'[4]EYSFF Additional Hrs'!$A$134:$G$191,5,0)</f>
        <v>#N/A</v>
      </c>
      <c r="F21" s="165" t="e">
        <f>VLOOKUP(A21,'[4]EYSFF Additional Hrs'!$A$134:$G$191,6,0)</f>
        <v>#N/A</v>
      </c>
      <c r="G21" s="165" t="e">
        <f>VLOOKUP(A21,'[4]EYSFF Additional Hrs'!$A$134:$G$191,7,0)</f>
        <v>#N/A</v>
      </c>
      <c r="H21" s="168" t="e">
        <f t="shared" si="2"/>
        <v>#N/A</v>
      </c>
      <c r="J21" s="124">
        <v>4.92</v>
      </c>
      <c r="K21" s="23" t="e">
        <f t="shared" si="0"/>
        <v>#N/A</v>
      </c>
      <c r="M21" s="169">
        <v>0.12509433962264155</v>
      </c>
      <c r="N21" s="21">
        <v>0.22941750431054744</v>
      </c>
      <c r="O21" s="21" t="e">
        <f t="shared" si="3"/>
        <v>#N/A</v>
      </c>
      <c r="Q21" s="20" t="str">
        <f t="shared" si="1"/>
        <v>N</v>
      </c>
      <c r="R21" s="23">
        <v>0</v>
      </c>
      <c r="S21" s="23" t="e">
        <f t="shared" si="4"/>
        <v>#N/A</v>
      </c>
      <c r="U21" s="125">
        <f t="shared" si="5"/>
        <v>5.149417504310548</v>
      </c>
      <c r="V21" s="125" t="e">
        <f t="shared" si="6"/>
        <v>#N/A</v>
      </c>
      <c r="X21" s="126"/>
    </row>
    <row r="22" spans="1:24" ht="15">
      <c r="A22" s="72">
        <v>2020</v>
      </c>
      <c r="B22" s="174" t="s">
        <v>13</v>
      </c>
      <c r="C22" s="99" t="s">
        <v>157</v>
      </c>
      <c r="D22" s="72"/>
      <c r="E22" s="165" t="e">
        <f>VLOOKUP(A22,'[4]EYSFF Additional Hrs'!$A$134:$G$191,5,0)</f>
        <v>#N/A</v>
      </c>
      <c r="F22" s="165" t="e">
        <f>VLOOKUP(A22,'[4]EYSFF Additional Hrs'!$A$134:$G$191,6,0)</f>
        <v>#N/A</v>
      </c>
      <c r="G22" s="165" t="e">
        <f>VLOOKUP(A22,'[4]EYSFF Additional Hrs'!$A$134:$G$191,7,0)</f>
        <v>#N/A</v>
      </c>
      <c r="H22" s="168" t="e">
        <f t="shared" si="2"/>
        <v>#N/A</v>
      </c>
      <c r="J22" s="124">
        <v>4.92</v>
      </c>
      <c r="K22" s="23" t="e">
        <f t="shared" si="0"/>
        <v>#N/A</v>
      </c>
      <c r="M22" s="169">
        <v>0.1085227272727273</v>
      </c>
      <c r="N22" s="21">
        <v>0.1990258977903188</v>
      </c>
      <c r="O22" s="21" t="e">
        <f t="shared" si="3"/>
        <v>#N/A</v>
      </c>
      <c r="Q22" s="20" t="str">
        <f t="shared" si="1"/>
        <v>N</v>
      </c>
      <c r="R22" s="23">
        <v>0</v>
      </c>
      <c r="S22" s="23" t="e">
        <f t="shared" si="4"/>
        <v>#N/A</v>
      </c>
      <c r="U22" s="125">
        <f t="shared" si="5"/>
        <v>5.119025897790319</v>
      </c>
      <c r="V22" s="125" t="e">
        <f t="shared" si="6"/>
        <v>#N/A</v>
      </c>
      <c r="X22" s="126"/>
    </row>
    <row r="23" spans="1:24" ht="15">
      <c r="A23" s="72">
        <v>5203</v>
      </c>
      <c r="B23" s="174" t="s">
        <v>134</v>
      </c>
      <c r="C23" s="99" t="s">
        <v>157</v>
      </c>
      <c r="D23" s="72"/>
      <c r="E23" s="165" t="e">
        <f>VLOOKUP(A23,'[4]EYSFF Additional Hrs'!$A$134:$G$191,5,0)</f>
        <v>#N/A</v>
      </c>
      <c r="F23" s="165" t="e">
        <f>VLOOKUP(A23,'[4]EYSFF Additional Hrs'!$A$134:$G$191,6,0)</f>
        <v>#N/A</v>
      </c>
      <c r="G23" s="165" t="e">
        <f>VLOOKUP(A23,'[4]EYSFF Additional Hrs'!$A$134:$G$191,7,0)</f>
        <v>#N/A</v>
      </c>
      <c r="H23" s="168" t="e">
        <f t="shared" si="2"/>
        <v>#N/A</v>
      </c>
      <c r="J23" s="124">
        <v>4.92</v>
      </c>
      <c r="K23" s="23" t="e">
        <f t="shared" si="0"/>
        <v>#N/A</v>
      </c>
      <c r="M23" s="169">
        <v>0.23193103448275867</v>
      </c>
      <c r="N23" s="21">
        <v>0.42535129298182417</v>
      </c>
      <c r="O23" s="21" t="e">
        <f t="shared" si="3"/>
        <v>#N/A</v>
      </c>
      <c r="Q23" s="20" t="str">
        <f t="shared" si="1"/>
        <v>N</v>
      </c>
      <c r="R23" s="23">
        <v>0</v>
      </c>
      <c r="S23" s="23" t="e">
        <f t="shared" si="4"/>
        <v>#N/A</v>
      </c>
      <c r="U23" s="125">
        <f t="shared" si="5"/>
        <v>5.3453512929818245</v>
      </c>
      <c r="V23" s="125" t="e">
        <f t="shared" si="6"/>
        <v>#N/A</v>
      </c>
      <c r="X23" s="126"/>
    </row>
    <row r="24" spans="1:24" ht="15">
      <c r="A24" s="72">
        <v>4654</v>
      </c>
      <c r="B24" s="128" t="s">
        <v>47</v>
      </c>
      <c r="C24" s="99" t="s">
        <v>157</v>
      </c>
      <c r="D24" s="72"/>
      <c r="E24" s="165" t="e">
        <f>VLOOKUP(A24,'[4]EYSFF Additional Hrs'!$A$134:$G$191,5,0)</f>
        <v>#N/A</v>
      </c>
      <c r="F24" s="165" t="e">
        <f>VLOOKUP(A24,'[4]EYSFF Additional Hrs'!$A$134:$G$191,6,0)</f>
        <v>#N/A</v>
      </c>
      <c r="G24" s="165" t="e">
        <f>VLOOKUP(A24,'[4]EYSFF Additional Hrs'!$A$134:$G$191,7,0)</f>
        <v>#N/A</v>
      </c>
      <c r="H24" s="168" t="e">
        <f t="shared" si="2"/>
        <v>#N/A</v>
      </c>
      <c r="J24" s="124">
        <v>4.92</v>
      </c>
      <c r="K24" s="23" t="e">
        <f t="shared" si="0"/>
        <v>#N/A</v>
      </c>
      <c r="M24" s="20">
        <v>0.24804347826086953</v>
      </c>
      <c r="N24" s="21">
        <v>0.45490080458298027</v>
      </c>
      <c r="O24" s="21" t="e">
        <f t="shared" si="3"/>
        <v>#N/A</v>
      </c>
      <c r="Q24" s="20" t="str">
        <f t="shared" si="1"/>
        <v>N</v>
      </c>
      <c r="R24" s="23">
        <v>0</v>
      </c>
      <c r="S24" s="23" t="e">
        <f t="shared" si="4"/>
        <v>#N/A</v>
      </c>
      <c r="U24" s="125">
        <f t="shared" si="5"/>
        <v>5.37490080458298</v>
      </c>
      <c r="V24" s="125" t="e">
        <f t="shared" si="6"/>
        <v>#N/A</v>
      </c>
      <c r="X24" s="126"/>
    </row>
    <row r="25" spans="1:24" ht="15">
      <c r="A25" s="72">
        <v>2024</v>
      </c>
      <c r="B25" s="174" t="s">
        <v>87</v>
      </c>
      <c r="C25" s="99" t="s">
        <v>157</v>
      </c>
      <c r="D25" s="72"/>
      <c r="E25" s="165" t="e">
        <f>VLOOKUP(A25,'[4]EYSFF Additional Hrs'!$A$134:$G$191,5,0)</f>
        <v>#N/A</v>
      </c>
      <c r="F25" s="165" t="e">
        <f>VLOOKUP(A25,'[4]EYSFF Additional Hrs'!$A$134:$G$191,6,0)</f>
        <v>#N/A</v>
      </c>
      <c r="G25" s="165" t="e">
        <f>VLOOKUP(A25,'[4]EYSFF Additional Hrs'!$A$134:$G$191,7,0)</f>
        <v>#N/A</v>
      </c>
      <c r="H25" s="168" t="e">
        <f t="shared" si="2"/>
        <v>#N/A</v>
      </c>
      <c r="J25" s="124">
        <v>4.92</v>
      </c>
      <c r="K25" s="23" t="e">
        <f t="shared" si="0"/>
        <v>#N/A</v>
      </c>
      <c r="M25" s="20">
        <v>0.1832926829268291</v>
      </c>
      <c r="N25" s="21">
        <v>0.33615070036187833</v>
      </c>
      <c r="O25" s="21" t="e">
        <f t="shared" si="3"/>
        <v>#N/A</v>
      </c>
      <c r="Q25" s="20" t="str">
        <f t="shared" si="1"/>
        <v>N</v>
      </c>
      <c r="R25" s="23">
        <v>0</v>
      </c>
      <c r="S25" s="23" t="e">
        <f t="shared" si="4"/>
        <v>#N/A</v>
      </c>
      <c r="U25" s="125">
        <f t="shared" si="5"/>
        <v>5.256150700361879</v>
      </c>
      <c r="V25" s="125" t="e">
        <f t="shared" si="6"/>
        <v>#N/A</v>
      </c>
      <c r="X25" s="126"/>
    </row>
    <row r="26" spans="1:24" ht="15">
      <c r="A26" s="72">
        <v>2025</v>
      </c>
      <c r="B26" s="174" t="s">
        <v>88</v>
      </c>
      <c r="C26" s="99" t="s">
        <v>157</v>
      </c>
      <c r="D26" s="72"/>
      <c r="E26" s="165" t="e">
        <f>VLOOKUP(A26,'[4]EYSFF Additional Hrs'!$A$134:$G$191,5,0)</f>
        <v>#N/A</v>
      </c>
      <c r="F26" s="165" t="e">
        <f>VLOOKUP(A26,'[4]EYSFF Additional Hrs'!$A$134:$G$191,6,0)</f>
        <v>#N/A</v>
      </c>
      <c r="G26" s="165" t="e">
        <f>VLOOKUP(A26,'[4]EYSFF Additional Hrs'!$A$134:$G$191,7,0)</f>
        <v>#N/A</v>
      </c>
      <c r="H26" s="168" t="e">
        <f t="shared" si="2"/>
        <v>#N/A</v>
      </c>
      <c r="J26" s="124">
        <v>4.92</v>
      </c>
      <c r="K26" s="23" t="e">
        <f t="shared" si="0"/>
        <v>#N/A</v>
      </c>
      <c r="M26" s="20">
        <v>0.14842105263157893</v>
      </c>
      <c r="N26" s="21">
        <v>0.2721976676530476</v>
      </c>
      <c r="O26" s="21" t="e">
        <f t="shared" si="3"/>
        <v>#N/A</v>
      </c>
      <c r="Q26" s="20" t="str">
        <f t="shared" si="1"/>
        <v>N</v>
      </c>
      <c r="R26" s="23">
        <v>0</v>
      </c>
      <c r="S26" s="23" t="e">
        <f t="shared" si="4"/>
        <v>#N/A</v>
      </c>
      <c r="U26" s="125">
        <f t="shared" si="5"/>
        <v>5.192197667653048</v>
      </c>
      <c r="V26" s="125" t="e">
        <f t="shared" si="6"/>
        <v>#N/A</v>
      </c>
      <c r="X26" s="126"/>
    </row>
    <row r="27" spans="1:24" ht="15">
      <c r="A27" s="72">
        <v>2026</v>
      </c>
      <c r="B27" s="174" t="s">
        <v>89</v>
      </c>
      <c r="C27" s="99" t="s">
        <v>157</v>
      </c>
      <c r="D27" s="72"/>
      <c r="E27" s="165" t="e">
        <f>VLOOKUP(A27,'[4]EYSFF Additional Hrs'!$A$134:$G$191,5,0)</f>
        <v>#N/A</v>
      </c>
      <c r="F27" s="165" t="e">
        <f>VLOOKUP(A27,'[4]EYSFF Additional Hrs'!$A$134:$G$191,6,0)</f>
        <v>#N/A</v>
      </c>
      <c r="G27" s="165" t="e">
        <f>VLOOKUP(A27,'[4]EYSFF Additional Hrs'!$A$134:$G$191,7,0)</f>
        <v>#N/A</v>
      </c>
      <c r="H27" s="168" t="e">
        <f t="shared" si="2"/>
        <v>#N/A</v>
      </c>
      <c r="J27" s="124">
        <v>4.92</v>
      </c>
      <c r="K27" s="23" t="e">
        <f t="shared" si="0"/>
        <v>#N/A</v>
      </c>
      <c r="M27" s="20">
        <v>0.2607317073170731</v>
      </c>
      <c r="N27" s="21">
        <v>0.47817045733446206</v>
      </c>
      <c r="O27" s="21" t="e">
        <f t="shared" si="3"/>
        <v>#N/A</v>
      </c>
      <c r="Q27" s="20" t="str">
        <f t="shared" si="1"/>
        <v>Y</v>
      </c>
      <c r="R27" s="23">
        <v>0.29</v>
      </c>
      <c r="S27" s="23" t="e">
        <f t="shared" si="4"/>
        <v>#N/A</v>
      </c>
      <c r="U27" s="125">
        <f t="shared" si="5"/>
        <v>5.688170457334462</v>
      </c>
      <c r="V27" s="125" t="e">
        <f t="shared" si="6"/>
        <v>#N/A</v>
      </c>
      <c r="X27" s="126"/>
    </row>
    <row r="28" spans="1:24" ht="15">
      <c r="A28" s="72">
        <v>5211</v>
      </c>
      <c r="B28" s="129" t="s">
        <v>43</v>
      </c>
      <c r="C28" s="99" t="s">
        <v>157</v>
      </c>
      <c r="D28" s="72"/>
      <c r="E28" s="165" t="e">
        <f>VLOOKUP(A28,'[4]EYSFF Additional Hrs'!$A$134:$G$191,5,0)</f>
        <v>#N/A</v>
      </c>
      <c r="F28" s="165" t="e">
        <f>VLOOKUP(A28,'[4]EYSFF Additional Hrs'!$A$134:$G$191,6,0)</f>
        <v>#N/A</v>
      </c>
      <c r="G28" s="165" t="e">
        <f>VLOOKUP(A28,'[4]EYSFF Additional Hrs'!$A$134:$G$191,7,0)</f>
        <v>#N/A</v>
      </c>
      <c r="H28" s="168" t="e">
        <f t="shared" si="2"/>
        <v>#N/A</v>
      </c>
      <c r="J28" s="124">
        <v>4.92</v>
      </c>
      <c r="K28" s="23" t="e">
        <f t="shared" si="0"/>
        <v>#N/A</v>
      </c>
      <c r="M28" s="20">
        <v>0.20552238805970174</v>
      </c>
      <c r="N28" s="21">
        <v>0.376918999619281</v>
      </c>
      <c r="O28" s="21" t="e">
        <f t="shared" si="3"/>
        <v>#N/A</v>
      </c>
      <c r="Q28" s="20" t="str">
        <f t="shared" si="1"/>
        <v>N</v>
      </c>
      <c r="R28" s="23">
        <v>0</v>
      </c>
      <c r="S28" s="23" t="e">
        <f t="shared" si="4"/>
        <v>#N/A</v>
      </c>
      <c r="U28" s="125">
        <f t="shared" si="5"/>
        <v>5.296918999619281</v>
      </c>
      <c r="V28" s="125" t="e">
        <f t="shared" si="6"/>
        <v>#N/A</v>
      </c>
      <c r="X28" s="126"/>
    </row>
    <row r="29" spans="1:24" ht="15">
      <c r="A29" s="72">
        <v>2029</v>
      </c>
      <c r="B29" s="174" t="s">
        <v>90</v>
      </c>
      <c r="C29" s="99" t="s">
        <v>157</v>
      </c>
      <c r="D29" s="72"/>
      <c r="E29" s="165" t="e">
        <f>VLOOKUP(A29,'[4]EYSFF Additional Hrs'!$A$134:$G$191,5,0)</f>
        <v>#N/A</v>
      </c>
      <c r="F29" s="165" t="e">
        <f>VLOOKUP(A29,'[4]EYSFF Additional Hrs'!$A$134:$G$191,6,0)</f>
        <v>#N/A</v>
      </c>
      <c r="G29" s="165" t="e">
        <f>VLOOKUP(A29,'[4]EYSFF Additional Hrs'!$A$134:$G$191,7,0)</f>
        <v>#N/A</v>
      </c>
      <c r="H29" s="168" t="e">
        <f t="shared" si="2"/>
        <v>#N/A</v>
      </c>
      <c r="J29" s="124">
        <v>4.92</v>
      </c>
      <c r="K29" s="23" t="e">
        <f t="shared" si="0"/>
        <v>#N/A</v>
      </c>
      <c r="M29" s="20">
        <v>0.21086956521739134</v>
      </c>
      <c r="N29" s="21">
        <v>0.3867254868058641</v>
      </c>
      <c r="O29" s="21" t="e">
        <f t="shared" si="3"/>
        <v>#N/A</v>
      </c>
      <c r="Q29" s="20" t="str">
        <f t="shared" si="1"/>
        <v>N</v>
      </c>
      <c r="R29" s="23">
        <v>0</v>
      </c>
      <c r="S29" s="23" t="e">
        <f t="shared" si="4"/>
        <v>#N/A</v>
      </c>
      <c r="U29" s="125">
        <f t="shared" si="5"/>
        <v>5.306725486805864</v>
      </c>
      <c r="V29" s="125" t="e">
        <f t="shared" si="6"/>
        <v>#N/A</v>
      </c>
      <c r="X29" s="126"/>
    </row>
    <row r="30" spans="1:24" ht="15">
      <c r="A30" s="72">
        <v>2061</v>
      </c>
      <c r="B30" s="174" t="s">
        <v>23</v>
      </c>
      <c r="C30" s="99" t="s">
        <v>157</v>
      </c>
      <c r="D30" s="72"/>
      <c r="E30" s="165" t="e">
        <f>VLOOKUP(A30,'[4]EYSFF Additional Hrs'!$A$134:$G$191,5,0)</f>
        <v>#N/A</v>
      </c>
      <c r="F30" s="165" t="e">
        <f>VLOOKUP(A30,'[4]EYSFF Additional Hrs'!$A$134:$G$191,6,0)</f>
        <v>#N/A</v>
      </c>
      <c r="G30" s="165" t="e">
        <f>VLOOKUP(A30,'[4]EYSFF Additional Hrs'!$A$134:$G$191,7,0)</f>
        <v>#N/A</v>
      </c>
      <c r="H30" s="168" t="e">
        <f t="shared" si="2"/>
        <v>#N/A</v>
      </c>
      <c r="J30" s="124">
        <v>4.92</v>
      </c>
      <c r="K30" s="23" t="e">
        <f t="shared" si="0"/>
        <v>#N/A</v>
      </c>
      <c r="M30" s="20">
        <v>0.1688888888888889</v>
      </c>
      <c r="N30" s="21">
        <v>0.3097347770614664</v>
      </c>
      <c r="O30" s="21" t="e">
        <f t="shared" si="3"/>
        <v>#N/A</v>
      </c>
      <c r="Q30" s="20" t="str">
        <f t="shared" si="1"/>
        <v>N</v>
      </c>
      <c r="R30" s="23">
        <v>0</v>
      </c>
      <c r="S30" s="23" t="e">
        <f t="shared" si="4"/>
        <v>#N/A</v>
      </c>
      <c r="U30" s="125">
        <f t="shared" si="5"/>
        <v>5.229734777061466</v>
      </c>
      <c r="V30" s="125" t="e">
        <f t="shared" si="6"/>
        <v>#N/A</v>
      </c>
      <c r="X30" s="126"/>
    </row>
    <row r="31" spans="1:24" ht="15">
      <c r="A31" s="72">
        <v>2021</v>
      </c>
      <c r="B31" s="174" t="s">
        <v>148</v>
      </c>
      <c r="C31" s="99" t="s">
        <v>157</v>
      </c>
      <c r="D31" s="72"/>
      <c r="E31" s="165" t="e">
        <f>VLOOKUP(A31,'[4]EYSFF Additional Hrs'!$A$134:$G$191,5,0)</f>
        <v>#N/A</v>
      </c>
      <c r="F31" s="165" t="e">
        <f>VLOOKUP(A31,'[4]EYSFF Additional Hrs'!$A$134:$G$191,6,0)</f>
        <v>#N/A</v>
      </c>
      <c r="G31" s="165" t="e">
        <f>VLOOKUP(A31,'[4]EYSFF Additional Hrs'!$A$134:$G$191,7,0)</f>
        <v>#N/A</v>
      </c>
      <c r="H31" s="168" t="e">
        <f t="shared" si="2"/>
        <v>#N/A</v>
      </c>
      <c r="J31" s="124">
        <v>4.92</v>
      </c>
      <c r="K31" s="23" t="e">
        <f t="shared" si="0"/>
        <v>#N/A</v>
      </c>
      <c r="M31" s="20">
        <v>0.2542857142857142</v>
      </c>
      <c r="N31" s="21">
        <v>0.4663487902748769</v>
      </c>
      <c r="O31" s="21" t="e">
        <f t="shared" si="3"/>
        <v>#N/A</v>
      </c>
      <c r="Q31" s="20" t="str">
        <f t="shared" si="1"/>
        <v>Y</v>
      </c>
      <c r="R31" s="23">
        <v>0.29</v>
      </c>
      <c r="S31" s="23" t="e">
        <f t="shared" si="4"/>
        <v>#N/A</v>
      </c>
      <c r="U31" s="125">
        <f t="shared" si="5"/>
        <v>5.676348790274877</v>
      </c>
      <c r="V31" s="125" t="e">
        <f t="shared" si="6"/>
        <v>#N/A</v>
      </c>
      <c r="X31" s="126"/>
    </row>
    <row r="32" spans="1:24" ht="15">
      <c r="A32" s="72">
        <v>2063</v>
      </c>
      <c r="B32" s="174" t="s">
        <v>95</v>
      </c>
      <c r="C32" s="99" t="s">
        <v>157</v>
      </c>
      <c r="D32" s="72"/>
      <c r="E32" s="165" t="e">
        <f>VLOOKUP(A32,'[4]EYSFF Additional Hrs'!$A$134:$G$191,5,0)</f>
        <v>#N/A</v>
      </c>
      <c r="F32" s="165" t="e">
        <f>VLOOKUP(A32,'[4]EYSFF Additional Hrs'!$A$134:$G$191,6,0)</f>
        <v>#N/A</v>
      </c>
      <c r="G32" s="165" t="e">
        <f>VLOOKUP(A32,'[4]EYSFF Additional Hrs'!$A$134:$G$191,7,0)</f>
        <v>#N/A</v>
      </c>
      <c r="H32" s="168" t="e">
        <f t="shared" si="2"/>
        <v>#N/A</v>
      </c>
      <c r="J32" s="124">
        <v>4.92</v>
      </c>
      <c r="K32" s="23" t="e">
        <f t="shared" si="0"/>
        <v>#N/A</v>
      </c>
      <c r="M32" s="20">
        <v>0.24210526315789482</v>
      </c>
      <c r="N32" s="21">
        <v>0.44401037985958147</v>
      </c>
      <c r="O32" s="21" t="e">
        <f t="shared" si="3"/>
        <v>#N/A</v>
      </c>
      <c r="Q32" s="20" t="str">
        <f t="shared" si="1"/>
        <v>N</v>
      </c>
      <c r="R32" s="23">
        <v>0</v>
      </c>
      <c r="S32" s="23" t="e">
        <f t="shared" si="4"/>
        <v>#N/A</v>
      </c>
      <c r="U32" s="125">
        <f t="shared" si="5"/>
        <v>5.3640103798595815</v>
      </c>
      <c r="V32" s="125" t="e">
        <f t="shared" si="6"/>
        <v>#N/A</v>
      </c>
      <c r="X32" s="126"/>
    </row>
    <row r="33" spans="1:24" ht="15">
      <c r="A33" s="72">
        <v>2081</v>
      </c>
      <c r="B33" s="174" t="s">
        <v>28</v>
      </c>
      <c r="C33" s="99" t="s">
        <v>157</v>
      </c>
      <c r="D33" s="72"/>
      <c r="E33" s="165" t="e">
        <f>VLOOKUP(A33,'[4]EYSFF Additional Hrs'!$A$134:$G$191,5,0)</f>
        <v>#N/A</v>
      </c>
      <c r="F33" s="165" t="e">
        <f>VLOOKUP(A33,'[4]EYSFF Additional Hrs'!$A$134:$G$191,6,0)</f>
        <v>#N/A</v>
      </c>
      <c r="G33" s="165" t="e">
        <f>VLOOKUP(A33,'[4]EYSFF Additional Hrs'!$A$134:$G$191,7,0)</f>
        <v>#N/A</v>
      </c>
      <c r="H33" s="168" t="e">
        <f t="shared" si="2"/>
        <v>#N/A</v>
      </c>
      <c r="J33" s="124">
        <v>4.92</v>
      </c>
      <c r="K33" s="23" t="e">
        <f t="shared" si="0"/>
        <v>#N/A</v>
      </c>
      <c r="M33" s="20">
        <v>0.2223364485981308</v>
      </c>
      <c r="N33" s="21">
        <v>0.40775524542935654</v>
      </c>
      <c r="O33" s="21" t="e">
        <f t="shared" si="3"/>
        <v>#N/A</v>
      </c>
      <c r="Q33" s="20" t="str">
        <f t="shared" si="1"/>
        <v>N</v>
      </c>
      <c r="R33" s="23">
        <v>0</v>
      </c>
      <c r="S33" s="23" t="e">
        <f t="shared" si="4"/>
        <v>#N/A</v>
      </c>
      <c r="U33" s="125">
        <f t="shared" si="5"/>
        <v>5.327755245429357</v>
      </c>
      <c r="V33" s="125" t="e">
        <f t="shared" si="6"/>
        <v>#N/A</v>
      </c>
      <c r="X33" s="126"/>
    </row>
    <row r="34" spans="1:24" ht="15">
      <c r="A34" s="72">
        <v>5204</v>
      </c>
      <c r="B34" s="174" t="s">
        <v>40</v>
      </c>
      <c r="C34" s="99" t="s">
        <v>157</v>
      </c>
      <c r="D34" s="72"/>
      <c r="E34" s="165" t="e">
        <f>VLOOKUP(A34,'[4]EYSFF Additional Hrs'!$A$134:$G$191,5,0)</f>
        <v>#N/A</v>
      </c>
      <c r="F34" s="165" t="e">
        <f>VLOOKUP(A34,'[4]EYSFF Additional Hrs'!$A$134:$G$191,6,0)</f>
        <v>#N/A</v>
      </c>
      <c r="G34" s="165" t="e">
        <f>VLOOKUP(A34,'[4]EYSFF Additional Hrs'!$A$134:$G$191,7,0)</f>
        <v>#N/A</v>
      </c>
      <c r="H34" s="168" t="e">
        <f t="shared" si="2"/>
        <v>#N/A</v>
      </c>
      <c r="J34" s="124">
        <v>4.92</v>
      </c>
      <c r="K34" s="23" t="e">
        <f t="shared" si="0"/>
        <v>#N/A</v>
      </c>
      <c r="M34" s="20">
        <v>0.1632258064516129</v>
      </c>
      <c r="N34" s="21">
        <v>0.29934893351823383</v>
      </c>
      <c r="O34" s="21" t="e">
        <f t="shared" si="3"/>
        <v>#N/A</v>
      </c>
      <c r="Q34" s="20" t="str">
        <f t="shared" si="1"/>
        <v>N</v>
      </c>
      <c r="R34" s="23">
        <v>0</v>
      </c>
      <c r="S34" s="23" t="e">
        <f t="shared" si="4"/>
        <v>#N/A</v>
      </c>
      <c r="U34" s="125">
        <f t="shared" si="5"/>
        <v>5.2193489335182335</v>
      </c>
      <c r="V34" s="125" t="e">
        <f t="shared" si="6"/>
        <v>#N/A</v>
      </c>
      <c r="X34" s="126"/>
    </row>
    <row r="35" spans="1:24" ht="15">
      <c r="A35" s="10">
        <v>3302</v>
      </c>
      <c r="B35" s="174" t="s">
        <v>30</v>
      </c>
      <c r="C35" s="99" t="s">
        <v>157</v>
      </c>
      <c r="D35" s="72"/>
      <c r="E35" s="165" t="e">
        <f>VLOOKUP(A35,'[4]EYSFF Additional Hrs'!$A$134:$G$191,5,0)</f>
        <v>#N/A</v>
      </c>
      <c r="F35" s="165" t="e">
        <f>VLOOKUP(A35,'[4]EYSFF Additional Hrs'!$A$134:$G$191,6,0)</f>
        <v>#N/A</v>
      </c>
      <c r="G35" s="165" t="e">
        <f>VLOOKUP(A35,'[4]EYSFF Additional Hrs'!$A$134:$G$191,7,0)</f>
        <v>#N/A</v>
      </c>
      <c r="H35" s="168" t="e">
        <f t="shared" si="2"/>
        <v>#N/A</v>
      </c>
      <c r="J35" s="124">
        <v>4.92</v>
      </c>
      <c r="K35" s="23" t="e">
        <f t="shared" si="0"/>
        <v>#N/A</v>
      </c>
      <c r="M35" s="20">
        <v>0.11172413793103447</v>
      </c>
      <c r="N35" s="21">
        <v>0.204897143809264</v>
      </c>
      <c r="O35" s="21" t="e">
        <f t="shared" si="3"/>
        <v>#N/A</v>
      </c>
      <c r="Q35" s="20" t="str">
        <f t="shared" si="1"/>
        <v>N</v>
      </c>
      <c r="R35" s="23">
        <v>0</v>
      </c>
      <c r="S35" s="23" t="e">
        <f t="shared" si="4"/>
        <v>#N/A</v>
      </c>
      <c r="U35" s="125">
        <f t="shared" si="5"/>
        <v>5.124897143809264</v>
      </c>
      <c r="V35" s="125" t="e">
        <f t="shared" si="6"/>
        <v>#N/A</v>
      </c>
      <c r="X35" s="126"/>
    </row>
    <row r="36" spans="1:24" ht="15">
      <c r="A36" s="72">
        <v>2027</v>
      </c>
      <c r="B36" s="174" t="s">
        <v>136</v>
      </c>
      <c r="C36" s="99" t="s">
        <v>157</v>
      </c>
      <c r="D36" s="72"/>
      <c r="E36" s="165" t="e">
        <f>VLOOKUP(A36,'[4]EYSFF Additional Hrs'!$A$134:$G$191,5,0)</f>
        <v>#N/A</v>
      </c>
      <c r="F36" s="165" t="e">
        <f>VLOOKUP(A36,'[4]EYSFF Additional Hrs'!$A$134:$G$191,6,0)</f>
        <v>#N/A</v>
      </c>
      <c r="G36" s="165" t="e">
        <f>VLOOKUP(A36,'[4]EYSFF Additional Hrs'!$A$134:$G$191,7,0)</f>
        <v>#N/A</v>
      </c>
      <c r="H36" s="168" t="e">
        <f t="shared" si="2"/>
        <v>#N/A</v>
      </c>
      <c r="J36" s="124">
        <v>4.92</v>
      </c>
      <c r="K36" s="23" t="e">
        <f t="shared" si="0"/>
        <v>#N/A</v>
      </c>
      <c r="M36" s="20">
        <v>0.221341463414634</v>
      </c>
      <c r="N36" s="21">
        <v>0.40593048646494306</v>
      </c>
      <c r="O36" s="21" t="e">
        <f t="shared" si="3"/>
        <v>#N/A</v>
      </c>
      <c r="Q36" s="20" t="str">
        <f t="shared" si="1"/>
        <v>N</v>
      </c>
      <c r="R36" s="23">
        <v>0</v>
      </c>
      <c r="S36" s="23" t="e">
        <f t="shared" si="4"/>
        <v>#N/A</v>
      </c>
      <c r="U36" s="125">
        <f t="shared" si="5"/>
        <v>5.325930486464943</v>
      </c>
      <c r="V36" s="125" t="e">
        <f t="shared" si="6"/>
        <v>#N/A</v>
      </c>
      <c r="X36" s="126"/>
    </row>
    <row r="37" spans="1:24" ht="15">
      <c r="A37" s="72">
        <v>2033</v>
      </c>
      <c r="B37" s="174" t="s">
        <v>15</v>
      </c>
      <c r="C37" s="99" t="s">
        <v>157</v>
      </c>
      <c r="D37" s="72"/>
      <c r="E37" s="165" t="e">
        <f>VLOOKUP(A37,'[4]EYSFF Additional Hrs'!$A$134:$G$191,5,0)</f>
        <v>#N/A</v>
      </c>
      <c r="F37" s="165" t="e">
        <f>VLOOKUP(A37,'[4]EYSFF Additional Hrs'!$A$134:$G$191,6,0)</f>
        <v>#N/A</v>
      </c>
      <c r="G37" s="165" t="e">
        <f>VLOOKUP(A37,'[4]EYSFF Additional Hrs'!$A$134:$G$191,7,0)</f>
        <v>#N/A</v>
      </c>
      <c r="H37" s="168" t="e">
        <f t="shared" si="2"/>
        <v>#N/A</v>
      </c>
      <c r="J37" s="124">
        <v>4.92</v>
      </c>
      <c r="K37" s="23" t="e">
        <f t="shared" si="0"/>
        <v>#N/A</v>
      </c>
      <c r="M37" s="20">
        <v>0.1130769230769231</v>
      </c>
      <c r="N37" s="21">
        <v>0.20737809213174094</v>
      </c>
      <c r="O37" s="21" t="e">
        <f t="shared" si="3"/>
        <v>#N/A</v>
      </c>
      <c r="Q37" s="20" t="str">
        <f t="shared" si="1"/>
        <v>N</v>
      </c>
      <c r="R37" s="23">
        <v>0</v>
      </c>
      <c r="S37" s="23" t="e">
        <f t="shared" si="4"/>
        <v>#N/A</v>
      </c>
      <c r="U37" s="125">
        <f t="shared" si="5"/>
        <v>5.127378092131741</v>
      </c>
      <c r="V37" s="125" t="e">
        <f t="shared" si="6"/>
        <v>#N/A</v>
      </c>
      <c r="X37" s="126"/>
    </row>
    <row r="38" spans="1:24" ht="15">
      <c r="A38" s="72">
        <v>2028</v>
      </c>
      <c r="B38" s="174" t="s">
        <v>137</v>
      </c>
      <c r="C38" s="99" t="s">
        <v>157</v>
      </c>
      <c r="D38" s="72"/>
      <c r="E38" s="165" t="e">
        <f>VLOOKUP(A38,'[4]EYSFF Additional Hrs'!$A$134:$G$191,5,0)</f>
        <v>#N/A</v>
      </c>
      <c r="F38" s="165" t="e">
        <f>VLOOKUP(A38,'[4]EYSFF Additional Hrs'!$A$134:$G$191,6,0)</f>
        <v>#N/A</v>
      </c>
      <c r="G38" s="165" t="e">
        <f>VLOOKUP(A38,'[4]EYSFF Additional Hrs'!$A$134:$G$191,7,0)</f>
        <v>#N/A</v>
      </c>
      <c r="H38" s="168" t="e">
        <f t="shared" si="2"/>
        <v>#N/A</v>
      </c>
      <c r="J38" s="124">
        <v>4.92</v>
      </c>
      <c r="K38" s="23" t="e">
        <f t="shared" si="0"/>
        <v>#N/A</v>
      </c>
      <c r="M38" s="20">
        <v>0.26557251908396934</v>
      </c>
      <c r="N38" s="21">
        <v>0.48704829271653116</v>
      </c>
      <c r="O38" s="21" t="e">
        <f t="shared" si="3"/>
        <v>#N/A</v>
      </c>
      <c r="Q38" s="20" t="str">
        <f t="shared" si="1"/>
        <v>Y</v>
      </c>
      <c r="R38" s="23">
        <v>0.29</v>
      </c>
      <c r="S38" s="23" t="e">
        <f t="shared" si="4"/>
        <v>#N/A</v>
      </c>
      <c r="U38" s="125">
        <f t="shared" si="5"/>
        <v>5.697048292716532</v>
      </c>
      <c r="V38" s="125" t="e">
        <f t="shared" si="6"/>
        <v>#N/A</v>
      </c>
      <c r="X38" s="126"/>
    </row>
    <row r="39" spans="1:24" ht="15">
      <c r="A39" s="10">
        <v>2017</v>
      </c>
      <c r="B39" s="174" t="s">
        <v>16</v>
      </c>
      <c r="C39" s="99" t="s">
        <v>157</v>
      </c>
      <c r="D39" s="72"/>
      <c r="E39" s="165">
        <f>VLOOKUP(A39,'[4]EYSFF Additional Hrs'!$A$134:$G$191,5,0)</f>
        <v>780</v>
      </c>
      <c r="F39" s="165">
        <f>VLOOKUP(A39,'[4]EYSFF Additional Hrs'!$A$134:$G$191,6,0)</f>
        <v>780</v>
      </c>
      <c r="G39" s="165">
        <f>VLOOKUP(A39,'[4]EYSFF Additional Hrs'!$A$134:$G$191,7,0)</f>
        <v>720</v>
      </c>
      <c r="H39" s="168">
        <f t="shared" si="2"/>
        <v>2280</v>
      </c>
      <c r="J39" s="124">
        <v>4.92</v>
      </c>
      <c r="K39" s="23">
        <f t="shared" si="0"/>
        <v>11217.6</v>
      </c>
      <c r="M39" s="20">
        <v>0.3195945945945945</v>
      </c>
      <c r="N39" s="21">
        <v>0.5861223977376697</v>
      </c>
      <c r="O39" s="21">
        <f t="shared" si="3"/>
        <v>1336.359066841887</v>
      </c>
      <c r="Q39" s="20" t="str">
        <f t="shared" si="1"/>
        <v>Y</v>
      </c>
      <c r="R39" s="23">
        <v>0.29</v>
      </c>
      <c r="S39" s="23">
        <f t="shared" si="4"/>
        <v>661.1999999999999</v>
      </c>
      <c r="U39" s="125">
        <f t="shared" si="5"/>
        <v>5.79612239773767</v>
      </c>
      <c r="V39" s="125">
        <f t="shared" si="6"/>
        <v>13215.159066841887</v>
      </c>
      <c r="X39" s="126"/>
    </row>
    <row r="40" spans="1:24" ht="15">
      <c r="A40" s="72">
        <v>1000</v>
      </c>
      <c r="B40" s="174" t="s">
        <v>168</v>
      </c>
      <c r="C40" s="99" t="s">
        <v>157</v>
      </c>
      <c r="D40" s="72"/>
      <c r="E40" s="165">
        <f>VLOOKUP(A40,'[4]EYSFF Additional Hrs'!$A$134:$G$191,5,0)</f>
        <v>4875</v>
      </c>
      <c r="F40" s="165">
        <f>VLOOKUP(A40,'[4]EYSFF Additional Hrs'!$A$134:$G$191,6,0)</f>
        <v>4875</v>
      </c>
      <c r="G40" s="165">
        <f>VLOOKUP(A40,'[4]EYSFF Additional Hrs'!$A$134:$G$191,7,0)</f>
        <v>4500</v>
      </c>
      <c r="H40" s="168">
        <f t="shared" si="2"/>
        <v>14250</v>
      </c>
      <c r="J40" s="124">
        <v>4.92</v>
      </c>
      <c r="K40" s="23">
        <f t="shared" si="0"/>
        <v>70110</v>
      </c>
      <c r="M40" s="20">
        <v>0.28755813953488374</v>
      </c>
      <c r="N40" s="21">
        <v>0.5273689514272535</v>
      </c>
      <c r="O40" s="21">
        <f t="shared" si="3"/>
        <v>7515.007557838362</v>
      </c>
      <c r="Q40" s="20" t="str">
        <f t="shared" si="1"/>
        <v>Y</v>
      </c>
      <c r="R40" s="23">
        <v>0.29</v>
      </c>
      <c r="S40" s="23">
        <f t="shared" si="4"/>
        <v>4132.5</v>
      </c>
      <c r="U40" s="125">
        <f t="shared" si="5"/>
        <v>5.7373689514272534</v>
      </c>
      <c r="V40" s="125">
        <f t="shared" si="6"/>
        <v>81757.50755783837</v>
      </c>
      <c r="X40" s="126"/>
    </row>
    <row r="41" spans="1:24" ht="15">
      <c r="A41" s="72">
        <v>2037</v>
      </c>
      <c r="B41" s="174" t="s">
        <v>93</v>
      </c>
      <c r="C41" s="99" t="s">
        <v>157</v>
      </c>
      <c r="D41" s="72"/>
      <c r="E41" s="165" t="e">
        <f>VLOOKUP(A41,'[4]EYSFF Additional Hrs'!$A$134:$G$191,5,0)</f>
        <v>#N/A</v>
      </c>
      <c r="F41" s="165" t="e">
        <f>VLOOKUP(A41,'[4]EYSFF Additional Hrs'!$A$134:$G$191,6,0)</f>
        <v>#N/A</v>
      </c>
      <c r="G41" s="165" t="e">
        <f>VLOOKUP(A41,'[4]EYSFF Additional Hrs'!$A$134:$G$191,7,0)</f>
        <v>#N/A</v>
      </c>
      <c r="H41" s="168" t="e">
        <f t="shared" si="2"/>
        <v>#N/A</v>
      </c>
      <c r="J41" s="124">
        <v>4.92</v>
      </c>
      <c r="K41" s="23" t="e">
        <f t="shared" si="0"/>
        <v>#N/A</v>
      </c>
      <c r="M41" s="20">
        <v>0.2877439024390247</v>
      </c>
      <c r="N41" s="21">
        <v>0.5277096324044269</v>
      </c>
      <c r="O41" s="21" t="e">
        <f t="shared" si="3"/>
        <v>#N/A</v>
      </c>
      <c r="Q41" s="20" t="str">
        <f t="shared" si="1"/>
        <v>Y</v>
      </c>
      <c r="R41" s="23">
        <v>0.29</v>
      </c>
      <c r="S41" s="23" t="e">
        <f t="shared" si="4"/>
        <v>#N/A</v>
      </c>
      <c r="U41" s="125">
        <f t="shared" si="5"/>
        <v>5.737709632404427</v>
      </c>
      <c r="V41" s="125" t="e">
        <f t="shared" si="6"/>
        <v>#N/A</v>
      </c>
      <c r="X41" s="126"/>
    </row>
    <row r="42" spans="1:24" ht="15">
      <c r="A42" s="72">
        <v>2039</v>
      </c>
      <c r="B42" s="174" t="s">
        <v>18</v>
      </c>
      <c r="C42" s="99" t="s">
        <v>157</v>
      </c>
      <c r="D42" s="72"/>
      <c r="E42" s="165" t="e">
        <f>VLOOKUP(A42,'[4]EYSFF Additional Hrs'!$A$134:$G$191,5,0)</f>
        <v>#N/A</v>
      </c>
      <c r="F42" s="165" t="e">
        <f>VLOOKUP(A42,'[4]EYSFF Additional Hrs'!$A$134:$G$191,6,0)</f>
        <v>#N/A</v>
      </c>
      <c r="G42" s="165" t="e">
        <f>VLOOKUP(A42,'[4]EYSFF Additional Hrs'!$A$134:$G$191,7,0)</f>
        <v>#N/A</v>
      </c>
      <c r="H42" s="168" t="e">
        <f t="shared" si="2"/>
        <v>#N/A</v>
      </c>
      <c r="J42" s="124">
        <v>4.92</v>
      </c>
      <c r="K42" s="23" t="e">
        <f t="shared" si="0"/>
        <v>#N/A</v>
      </c>
      <c r="M42" s="20">
        <v>0.10473214285714282</v>
      </c>
      <c r="N42" s="21">
        <v>0.19207413307318488</v>
      </c>
      <c r="O42" s="21" t="e">
        <f t="shared" si="3"/>
        <v>#N/A</v>
      </c>
      <c r="Q42" s="20" t="str">
        <f t="shared" si="1"/>
        <v>N</v>
      </c>
      <c r="R42" s="23">
        <v>0</v>
      </c>
      <c r="S42" s="23" t="e">
        <f t="shared" si="4"/>
        <v>#N/A</v>
      </c>
      <c r="U42" s="125">
        <f t="shared" si="5"/>
        <v>5.112074133073185</v>
      </c>
      <c r="V42" s="125" t="e">
        <f t="shared" si="6"/>
        <v>#N/A</v>
      </c>
      <c r="X42" s="126"/>
    </row>
    <row r="43" spans="1:24" ht="15">
      <c r="A43" s="72">
        <v>5200</v>
      </c>
      <c r="B43" s="174" t="s">
        <v>37</v>
      </c>
      <c r="C43" s="99" t="s">
        <v>157</v>
      </c>
      <c r="D43" s="72"/>
      <c r="E43" s="165" t="e">
        <f>VLOOKUP(A43,'[4]EYSFF Additional Hrs'!$A$134:$G$191,5,0)</f>
        <v>#N/A</v>
      </c>
      <c r="F43" s="165" t="e">
        <f>VLOOKUP(A43,'[4]EYSFF Additional Hrs'!$A$134:$G$191,6,0)</f>
        <v>#N/A</v>
      </c>
      <c r="G43" s="165" t="e">
        <f>VLOOKUP(A43,'[4]EYSFF Additional Hrs'!$A$134:$G$191,7,0)</f>
        <v>#N/A</v>
      </c>
      <c r="H43" s="168" t="e">
        <f t="shared" si="2"/>
        <v>#N/A</v>
      </c>
      <c r="J43" s="124">
        <v>4.92</v>
      </c>
      <c r="K43" s="23" t="e">
        <f t="shared" si="0"/>
        <v>#N/A</v>
      </c>
      <c r="M43" s="20">
        <v>0.16347457627118658</v>
      </c>
      <c r="N43" s="21">
        <v>0.2998051664007651</v>
      </c>
      <c r="O43" s="21" t="e">
        <f t="shared" si="3"/>
        <v>#N/A</v>
      </c>
      <c r="Q43" s="20" t="str">
        <f t="shared" si="1"/>
        <v>N</v>
      </c>
      <c r="R43" s="23">
        <v>0</v>
      </c>
      <c r="S43" s="23" t="e">
        <f t="shared" si="4"/>
        <v>#N/A</v>
      </c>
      <c r="U43" s="125">
        <f t="shared" si="5"/>
        <v>5.219805166400765</v>
      </c>
      <c r="V43" s="125" t="e">
        <f t="shared" si="6"/>
        <v>#N/A</v>
      </c>
      <c r="X43" s="126"/>
    </row>
    <row r="44" spans="1:24" ht="15">
      <c r="A44" s="72">
        <v>2040</v>
      </c>
      <c r="B44" s="174" t="s">
        <v>97</v>
      </c>
      <c r="C44" s="99" t="s">
        <v>157</v>
      </c>
      <c r="D44" s="72"/>
      <c r="E44" s="165" t="e">
        <f>VLOOKUP(A44,'[4]EYSFF Additional Hrs'!$A$134:$G$191,5,0)</f>
        <v>#N/A</v>
      </c>
      <c r="F44" s="165" t="e">
        <f>VLOOKUP(A44,'[4]EYSFF Additional Hrs'!$A$134:$G$191,6,0)</f>
        <v>#N/A</v>
      </c>
      <c r="G44" s="165" t="e">
        <f>VLOOKUP(A44,'[4]EYSFF Additional Hrs'!$A$134:$G$191,7,0)</f>
        <v>#N/A</v>
      </c>
      <c r="H44" s="168" t="e">
        <f t="shared" si="2"/>
        <v>#N/A</v>
      </c>
      <c r="J44" s="124">
        <v>4.92</v>
      </c>
      <c r="K44" s="23" t="e">
        <f t="shared" si="0"/>
        <v>#N/A</v>
      </c>
      <c r="M44" s="20">
        <v>0.2378813559322033</v>
      </c>
      <c r="N44" s="21">
        <v>0.4362639202109624</v>
      </c>
      <c r="O44" s="21" t="e">
        <f t="shared" si="3"/>
        <v>#N/A</v>
      </c>
      <c r="Q44" s="20" t="str">
        <f t="shared" si="1"/>
        <v>N</v>
      </c>
      <c r="R44" s="23">
        <v>0</v>
      </c>
      <c r="S44" s="23" t="e">
        <f t="shared" si="4"/>
        <v>#N/A</v>
      </c>
      <c r="U44" s="125">
        <f t="shared" si="5"/>
        <v>5.356263920210962</v>
      </c>
      <c r="V44" s="125" t="e">
        <f t="shared" si="6"/>
        <v>#N/A</v>
      </c>
      <c r="X44" s="126"/>
    </row>
    <row r="45" spans="1:24" ht="15">
      <c r="A45" s="72">
        <v>2064</v>
      </c>
      <c r="B45" s="174" t="s">
        <v>24</v>
      </c>
      <c r="C45" s="99" t="s">
        <v>157</v>
      </c>
      <c r="D45" s="72"/>
      <c r="E45" s="165" t="e">
        <f>VLOOKUP(A45,'[4]EYSFF Additional Hrs'!$A$134:$G$191,5,0)</f>
        <v>#N/A</v>
      </c>
      <c r="F45" s="165" t="e">
        <f>VLOOKUP(A45,'[4]EYSFF Additional Hrs'!$A$134:$G$191,6,0)</f>
        <v>#N/A</v>
      </c>
      <c r="G45" s="165" t="e">
        <f>VLOOKUP(A45,'[4]EYSFF Additional Hrs'!$A$134:$G$191,7,0)</f>
        <v>#N/A</v>
      </c>
      <c r="H45" s="168" t="e">
        <f t="shared" si="2"/>
        <v>#N/A</v>
      </c>
      <c r="J45" s="124">
        <v>4.92</v>
      </c>
      <c r="K45" s="23" t="e">
        <f t="shared" si="0"/>
        <v>#N/A</v>
      </c>
      <c r="M45" s="20">
        <v>0.28319587628865955</v>
      </c>
      <c r="N45" s="21">
        <v>0.5193687529361521</v>
      </c>
      <c r="O45" s="21" t="e">
        <f t="shared" si="3"/>
        <v>#N/A</v>
      </c>
      <c r="Q45" s="20" t="str">
        <f t="shared" si="1"/>
        <v>Y</v>
      </c>
      <c r="R45" s="23">
        <v>0.29</v>
      </c>
      <c r="S45" s="23" t="e">
        <f t="shared" si="4"/>
        <v>#N/A</v>
      </c>
      <c r="U45" s="125">
        <f t="shared" si="5"/>
        <v>5.7293687529361526</v>
      </c>
      <c r="V45" s="125" t="e">
        <f t="shared" si="6"/>
        <v>#N/A</v>
      </c>
      <c r="X45" s="126"/>
    </row>
    <row r="46" spans="1:24" ht="15">
      <c r="A46" s="72">
        <v>2045</v>
      </c>
      <c r="B46" s="174" t="s">
        <v>140</v>
      </c>
      <c r="C46" s="99" t="s">
        <v>157</v>
      </c>
      <c r="D46" s="72"/>
      <c r="E46" s="165" t="e">
        <f>VLOOKUP(A46,'[4]EYSFF Additional Hrs'!$A$134:$G$191,5,0)</f>
        <v>#N/A</v>
      </c>
      <c r="F46" s="165" t="e">
        <f>VLOOKUP(A46,'[4]EYSFF Additional Hrs'!$A$134:$G$191,6,0)</f>
        <v>#N/A</v>
      </c>
      <c r="G46" s="165" t="e">
        <f>VLOOKUP(A46,'[4]EYSFF Additional Hrs'!$A$134:$G$191,7,0)</f>
        <v>#N/A</v>
      </c>
      <c r="H46" s="168" t="e">
        <f t="shared" si="2"/>
        <v>#N/A</v>
      </c>
      <c r="J46" s="124">
        <v>4.92</v>
      </c>
      <c r="K46" s="23" t="e">
        <f t="shared" si="0"/>
        <v>#N/A</v>
      </c>
      <c r="M46" s="20">
        <v>0.26816666666666655</v>
      </c>
      <c r="N46" s="21">
        <v>0.49180584502490055</v>
      </c>
      <c r="O46" s="21" t="e">
        <f t="shared" si="3"/>
        <v>#N/A</v>
      </c>
      <c r="Q46" s="20" t="str">
        <f t="shared" si="1"/>
        <v>Y</v>
      </c>
      <c r="R46" s="23">
        <v>0.29</v>
      </c>
      <c r="S46" s="23" t="e">
        <f t="shared" si="4"/>
        <v>#N/A</v>
      </c>
      <c r="U46" s="125">
        <f t="shared" si="5"/>
        <v>5.701805845024901</v>
      </c>
      <c r="V46" s="125" t="e">
        <f t="shared" si="6"/>
        <v>#N/A</v>
      </c>
      <c r="X46" s="126"/>
    </row>
    <row r="47" spans="1:24" ht="15">
      <c r="A47" s="72">
        <v>2080</v>
      </c>
      <c r="B47" s="174" t="s">
        <v>27</v>
      </c>
      <c r="C47" s="99" t="s">
        <v>157</v>
      </c>
      <c r="D47" s="72"/>
      <c r="E47" s="165" t="e">
        <f>VLOOKUP(A47,'[4]EYSFF Additional Hrs'!$A$134:$G$191,5,0)</f>
        <v>#N/A</v>
      </c>
      <c r="F47" s="165" t="e">
        <f>VLOOKUP(A47,'[4]EYSFF Additional Hrs'!$A$134:$G$191,6,0)</f>
        <v>#N/A</v>
      </c>
      <c r="G47" s="165" t="e">
        <f>VLOOKUP(A47,'[4]EYSFF Additional Hrs'!$A$134:$G$191,7,0)</f>
        <v>#N/A</v>
      </c>
      <c r="H47" s="168" t="e">
        <f t="shared" si="2"/>
        <v>#N/A</v>
      </c>
      <c r="J47" s="124">
        <v>4.92</v>
      </c>
      <c r="K47" s="23" t="e">
        <f t="shared" si="0"/>
        <v>#N/A</v>
      </c>
      <c r="M47" s="20">
        <v>0.1693243243243244</v>
      </c>
      <c r="N47" s="21">
        <v>0.3105333464546726</v>
      </c>
      <c r="O47" s="21" t="e">
        <f t="shared" si="3"/>
        <v>#N/A</v>
      </c>
      <c r="Q47" s="20" t="str">
        <f t="shared" si="1"/>
        <v>N</v>
      </c>
      <c r="R47" s="23">
        <v>0</v>
      </c>
      <c r="S47" s="23" t="e">
        <f t="shared" si="4"/>
        <v>#N/A</v>
      </c>
      <c r="U47" s="125">
        <f t="shared" si="5"/>
        <v>5.230533346454672</v>
      </c>
      <c r="V47" s="125" t="e">
        <f t="shared" si="6"/>
        <v>#N/A</v>
      </c>
      <c r="X47" s="126"/>
    </row>
    <row r="48" spans="1:24" ht="15">
      <c r="A48" s="72">
        <v>2048</v>
      </c>
      <c r="B48" s="174" t="s">
        <v>19</v>
      </c>
      <c r="C48" s="99" t="s">
        <v>157</v>
      </c>
      <c r="D48" s="72"/>
      <c r="E48" s="165" t="e">
        <f>VLOOKUP(A48,'[4]EYSFF Additional Hrs'!$A$134:$G$191,5,0)</f>
        <v>#N/A</v>
      </c>
      <c r="F48" s="165" t="e">
        <f>VLOOKUP(A48,'[4]EYSFF Additional Hrs'!$A$134:$G$191,6,0)</f>
        <v>#N/A</v>
      </c>
      <c r="G48" s="165" t="e">
        <f>VLOOKUP(A48,'[4]EYSFF Additional Hrs'!$A$134:$G$191,7,0)</f>
        <v>#N/A</v>
      </c>
      <c r="H48" s="168" t="e">
        <f t="shared" si="2"/>
        <v>#N/A</v>
      </c>
      <c r="J48" s="124">
        <v>4.92</v>
      </c>
      <c r="K48" s="23" t="e">
        <f t="shared" si="0"/>
        <v>#N/A</v>
      </c>
      <c r="M48" s="20">
        <v>0.19461538461538463</v>
      </c>
      <c r="N48" s="21">
        <v>0.3569160361178942</v>
      </c>
      <c r="O48" s="21" t="e">
        <f t="shared" si="3"/>
        <v>#N/A</v>
      </c>
      <c r="Q48" s="20" t="str">
        <f t="shared" si="1"/>
        <v>N</v>
      </c>
      <c r="R48" s="23">
        <v>0</v>
      </c>
      <c r="S48" s="23" t="e">
        <f t="shared" si="4"/>
        <v>#N/A</v>
      </c>
      <c r="U48" s="125">
        <f t="shared" si="5"/>
        <v>5.276916036117894</v>
      </c>
      <c r="V48" s="125" t="e">
        <f t="shared" si="6"/>
        <v>#N/A</v>
      </c>
      <c r="X48" s="126"/>
    </row>
    <row r="49" spans="1:24" ht="15">
      <c r="A49" s="72">
        <v>3405</v>
      </c>
      <c r="B49" s="10" t="s">
        <v>36</v>
      </c>
      <c r="C49" s="99" t="s">
        <v>157</v>
      </c>
      <c r="D49" s="72"/>
      <c r="E49" s="165" t="e">
        <f>VLOOKUP(A49,'[4]EYSFF Additional Hrs'!$A$134:$G$191,5,0)</f>
        <v>#N/A</v>
      </c>
      <c r="F49" s="165" t="e">
        <f>VLOOKUP(A49,'[4]EYSFF Additional Hrs'!$A$134:$G$191,6,0)</f>
        <v>#N/A</v>
      </c>
      <c r="G49" s="165" t="e">
        <f>VLOOKUP(A49,'[4]EYSFF Additional Hrs'!$A$134:$G$191,7,0)</f>
        <v>#N/A</v>
      </c>
      <c r="H49" s="168" t="e">
        <f t="shared" si="2"/>
        <v>#N/A</v>
      </c>
      <c r="J49" s="124">
        <v>4.92</v>
      </c>
      <c r="K49" s="23" t="e">
        <f t="shared" si="0"/>
        <v>#N/A</v>
      </c>
      <c r="M49" s="20">
        <v>0.1250467289719626</v>
      </c>
      <c r="N49" s="21">
        <v>0.22933018847603154</v>
      </c>
      <c r="O49" s="21" t="e">
        <f t="shared" si="3"/>
        <v>#N/A</v>
      </c>
      <c r="Q49" s="20" t="str">
        <f t="shared" si="1"/>
        <v>N</v>
      </c>
      <c r="R49" s="23">
        <v>0</v>
      </c>
      <c r="S49" s="23" t="e">
        <f t="shared" si="4"/>
        <v>#N/A</v>
      </c>
      <c r="U49" s="125">
        <f t="shared" si="5"/>
        <v>5.149330188476031</v>
      </c>
      <c r="V49" s="125" t="e">
        <f t="shared" si="6"/>
        <v>#N/A</v>
      </c>
      <c r="X49" s="126"/>
    </row>
    <row r="50" spans="1:24" ht="15">
      <c r="A50" s="72">
        <v>5208</v>
      </c>
      <c r="B50" s="174" t="s">
        <v>99</v>
      </c>
      <c r="C50" s="99" t="s">
        <v>157</v>
      </c>
      <c r="D50" s="72"/>
      <c r="E50" s="165" t="e">
        <f>VLOOKUP(A50,'[4]EYSFF Additional Hrs'!$A$134:$G$191,5,0)</f>
        <v>#N/A</v>
      </c>
      <c r="F50" s="165" t="e">
        <f>VLOOKUP(A50,'[4]EYSFF Additional Hrs'!$A$134:$G$191,6,0)</f>
        <v>#N/A</v>
      </c>
      <c r="G50" s="165" t="e">
        <f>VLOOKUP(A50,'[4]EYSFF Additional Hrs'!$A$134:$G$191,7,0)</f>
        <v>#N/A</v>
      </c>
      <c r="H50" s="168" t="e">
        <f t="shared" si="2"/>
        <v>#N/A</v>
      </c>
      <c r="J50" s="124">
        <v>4.92</v>
      </c>
      <c r="K50" s="23" t="e">
        <f t="shared" si="0"/>
        <v>#N/A</v>
      </c>
      <c r="M50" s="20">
        <v>0.25458333333333333</v>
      </c>
      <c r="N50" s="21">
        <v>0.4668946104882137</v>
      </c>
      <c r="O50" s="21" t="e">
        <f t="shared" si="3"/>
        <v>#N/A</v>
      </c>
      <c r="Q50" s="20" t="str">
        <f t="shared" si="1"/>
        <v>Y</v>
      </c>
      <c r="R50" s="23">
        <v>0.29</v>
      </c>
      <c r="S50" s="23" t="e">
        <f t="shared" si="4"/>
        <v>#N/A</v>
      </c>
      <c r="U50" s="125">
        <f t="shared" si="5"/>
        <v>5.676894610488214</v>
      </c>
      <c r="V50" s="125" t="e">
        <f t="shared" si="6"/>
        <v>#N/A</v>
      </c>
      <c r="X50" s="126"/>
    </row>
    <row r="51" spans="1:24" ht="15">
      <c r="A51" s="72">
        <v>3402</v>
      </c>
      <c r="B51" s="129" t="s">
        <v>33</v>
      </c>
      <c r="C51" s="99" t="s">
        <v>157</v>
      </c>
      <c r="D51" s="72"/>
      <c r="E51" s="165" t="e">
        <f>VLOOKUP(A51,'[4]EYSFF Additional Hrs'!$A$134:$G$191,5,0)</f>
        <v>#N/A</v>
      </c>
      <c r="F51" s="165" t="e">
        <f>VLOOKUP(A51,'[4]EYSFF Additional Hrs'!$A$134:$G$191,6,0)</f>
        <v>#N/A</v>
      </c>
      <c r="G51" s="165" t="e">
        <f>VLOOKUP(A51,'[4]EYSFF Additional Hrs'!$A$134:$G$191,7,0)</f>
        <v>#N/A</v>
      </c>
      <c r="H51" s="168" t="e">
        <f t="shared" si="2"/>
        <v>#N/A</v>
      </c>
      <c r="J51" s="124">
        <v>4.92</v>
      </c>
      <c r="K51" s="23" t="e">
        <f t="shared" si="0"/>
        <v>#N/A</v>
      </c>
      <c r="M51" s="20">
        <v>0.22048192771084338</v>
      </c>
      <c r="N51" s="21">
        <v>0.4043541358752656</v>
      </c>
      <c r="O51" s="21" t="e">
        <f t="shared" si="3"/>
        <v>#N/A</v>
      </c>
      <c r="Q51" s="20" t="str">
        <f t="shared" si="1"/>
        <v>N</v>
      </c>
      <c r="R51" s="23">
        <v>0</v>
      </c>
      <c r="S51" s="23" t="e">
        <f t="shared" si="4"/>
        <v>#N/A</v>
      </c>
      <c r="U51" s="125">
        <f t="shared" si="5"/>
        <v>5.324354135875265</v>
      </c>
      <c r="V51" s="125" t="e">
        <f t="shared" si="6"/>
        <v>#N/A</v>
      </c>
      <c r="X51" s="126"/>
    </row>
    <row r="52" spans="1:24" ht="15">
      <c r="A52" s="72">
        <v>3403</v>
      </c>
      <c r="B52" s="129" t="s">
        <v>34</v>
      </c>
      <c r="C52" s="99" t="s">
        <v>157</v>
      </c>
      <c r="D52" s="72"/>
      <c r="E52" s="165" t="e">
        <f>VLOOKUP(A52,'[4]EYSFF Additional Hrs'!$A$134:$G$191,5,0)</f>
        <v>#N/A</v>
      </c>
      <c r="F52" s="165" t="e">
        <f>VLOOKUP(A52,'[4]EYSFF Additional Hrs'!$A$134:$G$191,6,0)</f>
        <v>#N/A</v>
      </c>
      <c r="G52" s="165" t="e">
        <f>VLOOKUP(A52,'[4]EYSFF Additional Hrs'!$A$134:$G$191,7,0)</f>
        <v>#N/A</v>
      </c>
      <c r="H52" s="168" t="e">
        <f t="shared" si="2"/>
        <v>#N/A</v>
      </c>
      <c r="J52" s="124">
        <v>4.92</v>
      </c>
      <c r="K52" s="23" t="e">
        <f t="shared" si="0"/>
        <v>#N/A</v>
      </c>
      <c r="M52" s="20">
        <v>0.31627906976744175</v>
      </c>
      <c r="N52" s="21">
        <v>0.5800418713635781</v>
      </c>
      <c r="O52" s="21" t="e">
        <f t="shared" si="3"/>
        <v>#N/A</v>
      </c>
      <c r="Q52" s="20" t="str">
        <f t="shared" si="1"/>
        <v>Y</v>
      </c>
      <c r="R52" s="23">
        <v>0.29</v>
      </c>
      <c r="S52" s="23" t="e">
        <f t="shared" si="4"/>
        <v>#N/A</v>
      </c>
      <c r="U52" s="125">
        <f t="shared" si="5"/>
        <v>5.790041871363578</v>
      </c>
      <c r="V52" s="125" t="e">
        <f t="shared" si="6"/>
        <v>#N/A</v>
      </c>
      <c r="X52" s="126"/>
    </row>
    <row r="53" spans="1:24" ht="15">
      <c r="A53" s="72">
        <v>2035</v>
      </c>
      <c r="B53" s="174" t="s">
        <v>149</v>
      </c>
      <c r="C53" s="99" t="s">
        <v>157</v>
      </c>
      <c r="D53" s="72"/>
      <c r="E53" s="165" t="e">
        <f>VLOOKUP(A53,'[4]EYSFF Additional Hrs'!$A$134:$G$191,5,0)</f>
        <v>#N/A</v>
      </c>
      <c r="F53" s="165" t="e">
        <f>VLOOKUP(A53,'[4]EYSFF Additional Hrs'!$A$134:$G$191,6,0)</f>
        <v>#N/A</v>
      </c>
      <c r="G53" s="165" t="e">
        <f>VLOOKUP(A53,'[4]EYSFF Additional Hrs'!$A$134:$G$191,7,0)</f>
        <v>#N/A</v>
      </c>
      <c r="H53" s="168" t="e">
        <f t="shared" si="2"/>
        <v>#N/A</v>
      </c>
      <c r="J53" s="124">
        <v>4.92</v>
      </c>
      <c r="K53" s="23" t="e">
        <f t="shared" si="0"/>
        <v>#N/A</v>
      </c>
      <c r="M53" s="20">
        <v>0.30459999999999987</v>
      </c>
      <c r="N53" s="21">
        <v>0.558622972260726</v>
      </c>
      <c r="O53" s="21" t="e">
        <f t="shared" si="3"/>
        <v>#N/A</v>
      </c>
      <c r="Q53" s="20" t="str">
        <f t="shared" si="1"/>
        <v>Y</v>
      </c>
      <c r="R53" s="23">
        <v>0.29</v>
      </c>
      <c r="S53" s="23" t="e">
        <f t="shared" si="4"/>
        <v>#N/A</v>
      </c>
      <c r="U53" s="125">
        <f t="shared" si="5"/>
        <v>5.768622972260726</v>
      </c>
      <c r="V53" s="125" t="e">
        <f t="shared" si="6"/>
        <v>#N/A</v>
      </c>
      <c r="X53" s="126"/>
    </row>
    <row r="54" spans="1:24" ht="15">
      <c r="A54" s="72">
        <v>3404</v>
      </c>
      <c r="B54" s="129" t="s">
        <v>35</v>
      </c>
      <c r="C54" s="99" t="s">
        <v>157</v>
      </c>
      <c r="D54" s="72"/>
      <c r="E54" s="165" t="e">
        <f>VLOOKUP(A54,'[4]EYSFF Additional Hrs'!$A$134:$G$191,5,0)</f>
        <v>#N/A</v>
      </c>
      <c r="F54" s="165" t="e">
        <f>VLOOKUP(A54,'[4]EYSFF Additional Hrs'!$A$134:$G$191,6,0)</f>
        <v>#N/A</v>
      </c>
      <c r="G54" s="165" t="e">
        <f>VLOOKUP(A54,'[4]EYSFF Additional Hrs'!$A$134:$G$191,7,0)</f>
        <v>#N/A</v>
      </c>
      <c r="H54" s="168" t="e">
        <f t="shared" si="2"/>
        <v>#N/A</v>
      </c>
      <c r="J54" s="124">
        <v>4.92</v>
      </c>
      <c r="K54" s="23" t="e">
        <f t="shared" si="0"/>
        <v>#N/A</v>
      </c>
      <c r="M54" s="20">
        <v>0.21921052631578952</v>
      </c>
      <c r="N54" s="21">
        <v>0.40202244176416446</v>
      </c>
      <c r="O54" s="21" t="e">
        <f t="shared" si="3"/>
        <v>#N/A</v>
      </c>
      <c r="Q54" s="20" t="str">
        <f t="shared" si="1"/>
        <v>N</v>
      </c>
      <c r="R54" s="23">
        <v>0</v>
      </c>
      <c r="S54" s="23" t="e">
        <f t="shared" si="4"/>
        <v>#N/A</v>
      </c>
      <c r="U54" s="125">
        <f t="shared" si="5"/>
        <v>5.322022441764164</v>
      </c>
      <c r="V54" s="125" t="e">
        <f t="shared" si="6"/>
        <v>#N/A</v>
      </c>
      <c r="X54" s="126"/>
    </row>
    <row r="55" spans="1:24" ht="15">
      <c r="A55" s="72">
        <v>3306</v>
      </c>
      <c r="B55" s="129" t="s">
        <v>130</v>
      </c>
      <c r="C55" s="99" t="s">
        <v>157</v>
      </c>
      <c r="D55" s="72"/>
      <c r="E55" s="165" t="e">
        <f>VLOOKUP(A55,'[4]EYSFF Additional Hrs'!$A$134:$G$191,5,0)</f>
        <v>#N/A</v>
      </c>
      <c r="F55" s="165" t="e">
        <f>VLOOKUP(A55,'[4]EYSFF Additional Hrs'!$A$134:$G$191,6,0)</f>
        <v>#N/A</v>
      </c>
      <c r="G55" s="165" t="e">
        <f>VLOOKUP(A55,'[4]EYSFF Additional Hrs'!$A$134:$G$191,7,0)</f>
        <v>#N/A</v>
      </c>
      <c r="H55" s="168" t="e">
        <f t="shared" si="2"/>
        <v>#N/A</v>
      </c>
      <c r="J55" s="124">
        <v>4.92</v>
      </c>
      <c r="K55" s="23" t="e">
        <f t="shared" si="0"/>
        <v>#N/A</v>
      </c>
      <c r="M55" s="20">
        <v>0.2820270270270269</v>
      </c>
      <c r="N55" s="21">
        <v>0.5172251349169203</v>
      </c>
      <c r="O55" s="21" t="e">
        <f t="shared" si="3"/>
        <v>#N/A</v>
      </c>
      <c r="Q55" s="20" t="str">
        <f t="shared" si="1"/>
        <v>Y</v>
      </c>
      <c r="R55" s="23">
        <v>0.29</v>
      </c>
      <c r="S55" s="23" t="e">
        <f t="shared" si="4"/>
        <v>#N/A</v>
      </c>
      <c r="U55" s="125">
        <f t="shared" si="5"/>
        <v>5.72722513491692</v>
      </c>
      <c r="V55" s="125" t="e">
        <f t="shared" si="6"/>
        <v>#N/A</v>
      </c>
      <c r="X55" s="126"/>
    </row>
    <row r="56" spans="1:24" ht="15">
      <c r="A56" s="72">
        <v>3400</v>
      </c>
      <c r="B56" s="174" t="s">
        <v>155</v>
      </c>
      <c r="C56" s="99" t="s">
        <v>157</v>
      </c>
      <c r="D56" s="72"/>
      <c r="E56" s="165" t="e">
        <f>VLOOKUP(A56,'[4]EYSFF Additional Hrs'!$A$134:$G$191,5,0)</f>
        <v>#N/A</v>
      </c>
      <c r="F56" s="165" t="e">
        <f>VLOOKUP(A56,'[4]EYSFF Additional Hrs'!$A$134:$G$191,6,0)</f>
        <v>#N/A</v>
      </c>
      <c r="G56" s="165" t="e">
        <f>VLOOKUP(A56,'[4]EYSFF Additional Hrs'!$A$134:$G$191,7,0)</f>
        <v>#N/A</v>
      </c>
      <c r="H56" s="168" t="e">
        <f t="shared" si="2"/>
        <v>#N/A</v>
      </c>
      <c r="J56" s="124">
        <v>4.92</v>
      </c>
      <c r="K56" s="23" t="e">
        <f t="shared" si="0"/>
        <v>#N/A</v>
      </c>
      <c r="M56" s="20">
        <v>0.14864864864864868</v>
      </c>
      <c r="N56" s="21">
        <v>0.27261506871519536</v>
      </c>
      <c r="O56" s="21" t="e">
        <f t="shared" si="3"/>
        <v>#N/A</v>
      </c>
      <c r="Q56" s="20" t="str">
        <f t="shared" si="1"/>
        <v>N</v>
      </c>
      <c r="R56" s="23">
        <v>0</v>
      </c>
      <c r="S56" s="23" t="e">
        <f t="shared" si="4"/>
        <v>#N/A</v>
      </c>
      <c r="U56" s="125">
        <f t="shared" si="5"/>
        <v>5.192615068715195</v>
      </c>
      <c r="V56" s="125" t="e">
        <f t="shared" si="6"/>
        <v>#N/A</v>
      </c>
      <c r="X56" s="126"/>
    </row>
    <row r="57" spans="1:24" ht="15">
      <c r="A57" s="10">
        <v>2065</v>
      </c>
      <c r="B57" s="174" t="s">
        <v>96</v>
      </c>
      <c r="C57" s="99" t="s">
        <v>157</v>
      </c>
      <c r="D57" s="72"/>
      <c r="E57" s="165" t="e">
        <f>VLOOKUP(A57,'[4]EYSFF Additional Hrs'!$A$134:$G$191,5,0)</f>
        <v>#N/A</v>
      </c>
      <c r="F57" s="165" t="e">
        <f>VLOOKUP(A57,'[4]EYSFF Additional Hrs'!$A$134:$G$191,6,0)</f>
        <v>#N/A</v>
      </c>
      <c r="G57" s="165" t="e">
        <f>VLOOKUP(A57,'[4]EYSFF Additional Hrs'!$A$134:$G$191,7,0)</f>
        <v>#N/A</v>
      </c>
      <c r="H57" s="168" t="e">
        <f t="shared" si="2"/>
        <v>#N/A</v>
      </c>
      <c r="J57" s="124">
        <v>4.92</v>
      </c>
      <c r="K57" s="23" t="e">
        <f t="shared" si="0"/>
        <v>#N/A</v>
      </c>
      <c r="M57" s="20">
        <v>0.10300000000000001</v>
      </c>
      <c r="N57" s="21">
        <v>0.18889745943156533</v>
      </c>
      <c r="O57" s="21" t="e">
        <f t="shared" si="3"/>
        <v>#N/A</v>
      </c>
      <c r="Q57" s="20" t="str">
        <f t="shared" si="1"/>
        <v>N</v>
      </c>
      <c r="R57" s="23">
        <v>0</v>
      </c>
      <c r="S57" s="23" t="e">
        <f t="shared" si="4"/>
        <v>#N/A</v>
      </c>
      <c r="U57" s="125">
        <f t="shared" si="5"/>
        <v>5.1088974594315655</v>
      </c>
      <c r="V57" s="125" t="e">
        <f t="shared" si="6"/>
        <v>#N/A</v>
      </c>
      <c r="X57" s="126"/>
    </row>
    <row r="58" spans="1:24" ht="15">
      <c r="A58" s="10">
        <v>2051</v>
      </c>
      <c r="B58" s="174" t="s">
        <v>207</v>
      </c>
      <c r="C58" s="99" t="s">
        <v>157</v>
      </c>
      <c r="D58" s="72"/>
      <c r="E58" s="165" t="e">
        <f>VLOOKUP(A58,'[4]EYSFF Additional Hrs'!$A$134:$G$191,5,0)</f>
        <v>#N/A</v>
      </c>
      <c r="F58" s="165" t="e">
        <f>VLOOKUP(A58,'[4]EYSFF Additional Hrs'!$A$134:$G$191,6,0)</f>
        <v>#N/A</v>
      </c>
      <c r="G58" s="165" t="e">
        <f>VLOOKUP(A58,'[4]EYSFF Additional Hrs'!$A$134:$G$191,7,0)</f>
        <v>#N/A</v>
      </c>
      <c r="H58" s="168" t="e">
        <f t="shared" si="2"/>
        <v>#N/A</v>
      </c>
      <c r="J58" s="124">
        <v>4.92</v>
      </c>
      <c r="K58" s="23" t="e">
        <f t="shared" si="0"/>
        <v>#N/A</v>
      </c>
      <c r="M58" s="20">
        <v>0.2973737373737374</v>
      </c>
      <c r="N58" s="21">
        <v>0.5453703251608595</v>
      </c>
      <c r="O58" s="21" t="e">
        <f t="shared" si="3"/>
        <v>#N/A</v>
      </c>
      <c r="Q58" s="20" t="str">
        <f t="shared" si="1"/>
        <v>Y</v>
      </c>
      <c r="R58" s="23">
        <v>0.29</v>
      </c>
      <c r="S58" s="23" t="e">
        <f t="shared" si="4"/>
        <v>#N/A</v>
      </c>
      <c r="U58" s="125">
        <f t="shared" si="5"/>
        <v>5.755370325160859</v>
      </c>
      <c r="V58" s="125" t="e">
        <f t="shared" si="6"/>
        <v>#N/A</v>
      </c>
      <c r="X58" s="126"/>
    </row>
    <row r="59" spans="1:24" ht="15">
      <c r="A59" s="10">
        <v>2069</v>
      </c>
      <c r="B59" s="174" t="s">
        <v>25</v>
      </c>
      <c r="C59" s="99" t="s">
        <v>157</v>
      </c>
      <c r="D59" s="72"/>
      <c r="E59" s="165" t="e">
        <f>VLOOKUP(A59,'[4]EYSFF Additional Hrs'!$A$134:$G$191,5,0)</f>
        <v>#N/A</v>
      </c>
      <c r="F59" s="165" t="e">
        <f>VLOOKUP(A59,'[4]EYSFF Additional Hrs'!$A$134:$G$191,6,0)</f>
        <v>#N/A</v>
      </c>
      <c r="G59" s="165" t="e">
        <f>VLOOKUP(A59,'[4]EYSFF Additional Hrs'!$A$134:$G$191,7,0)</f>
        <v>#N/A</v>
      </c>
      <c r="H59" s="168" t="e">
        <f t="shared" si="2"/>
        <v>#N/A</v>
      </c>
      <c r="J59" s="124">
        <v>4.92</v>
      </c>
      <c r="K59" s="23" t="e">
        <f t="shared" si="0"/>
        <v>#N/A</v>
      </c>
      <c r="M59" s="20">
        <v>0.22897196261682223</v>
      </c>
      <c r="N59" s="21">
        <v>0.41992448562502016</v>
      </c>
      <c r="O59" s="21" t="e">
        <f t="shared" si="3"/>
        <v>#N/A</v>
      </c>
      <c r="Q59" s="20" t="str">
        <f t="shared" si="1"/>
        <v>N</v>
      </c>
      <c r="R59" s="23">
        <v>0</v>
      </c>
      <c r="S59" s="23" t="e">
        <f t="shared" si="4"/>
        <v>#N/A</v>
      </c>
      <c r="U59" s="125">
        <f t="shared" si="5"/>
        <v>5.33992448562502</v>
      </c>
      <c r="V59" s="125" t="e">
        <f t="shared" si="6"/>
        <v>#N/A</v>
      </c>
      <c r="X59" s="126"/>
    </row>
    <row r="60" spans="1:24" ht="15">
      <c r="A60" s="72">
        <v>2074</v>
      </c>
      <c r="B60" s="174" t="s">
        <v>205</v>
      </c>
      <c r="C60" s="99" t="s">
        <v>157</v>
      </c>
      <c r="D60" s="72"/>
      <c r="E60" s="165" t="e">
        <f>VLOOKUP(A60,'[4]EYSFF Additional Hrs'!$A$134:$G$191,5,0)</f>
        <v>#N/A</v>
      </c>
      <c r="F60" s="165" t="e">
        <f>VLOOKUP(A60,'[4]EYSFF Additional Hrs'!$A$134:$G$191,6,0)</f>
        <v>#N/A</v>
      </c>
      <c r="G60" s="165" t="e">
        <f>VLOOKUP(A60,'[4]EYSFF Additional Hrs'!$A$134:$G$191,7,0)</f>
        <v>#N/A</v>
      </c>
      <c r="H60" s="168" t="e">
        <f t="shared" si="2"/>
        <v>#N/A</v>
      </c>
      <c r="J60" s="124">
        <v>4.92</v>
      </c>
      <c r="K60" s="23" t="e">
        <f t="shared" si="0"/>
        <v>#N/A</v>
      </c>
      <c r="M60" s="20">
        <v>0.13483870967741932</v>
      </c>
      <c r="N60" s="21">
        <v>0.2472882494281061</v>
      </c>
      <c r="O60" s="21" t="e">
        <f t="shared" si="3"/>
        <v>#N/A</v>
      </c>
      <c r="Q60" s="20" t="str">
        <f t="shared" si="1"/>
        <v>N</v>
      </c>
      <c r="R60" s="23">
        <v>0</v>
      </c>
      <c r="S60" s="23" t="e">
        <f t="shared" si="4"/>
        <v>#N/A</v>
      </c>
      <c r="U60" s="125">
        <f t="shared" si="5"/>
        <v>5.167288249428106</v>
      </c>
      <c r="V60" s="125" t="e">
        <f t="shared" si="6"/>
        <v>#N/A</v>
      </c>
      <c r="X60" s="126"/>
    </row>
    <row r="61" spans="1:24" ht="15">
      <c r="A61" s="72">
        <v>2049</v>
      </c>
      <c r="B61" s="174" t="s">
        <v>206</v>
      </c>
      <c r="C61" s="99" t="s">
        <v>157</v>
      </c>
      <c r="D61" s="72"/>
      <c r="E61" s="165" t="e">
        <f>VLOOKUP(A61,'[4]EYSFF Additional Hrs'!$A$134:$G$191,5,0)</f>
        <v>#N/A</v>
      </c>
      <c r="F61" s="165" t="e">
        <f>VLOOKUP(A61,'[4]EYSFF Additional Hrs'!$A$134:$G$191,6,0)</f>
        <v>#N/A</v>
      </c>
      <c r="G61" s="165" t="e">
        <f>VLOOKUP(A61,'[4]EYSFF Additional Hrs'!$A$134:$G$191,7,0)</f>
        <v>#N/A</v>
      </c>
      <c r="H61" s="168" t="e">
        <f t="shared" si="2"/>
        <v>#N/A</v>
      </c>
      <c r="J61" s="124">
        <v>4.92</v>
      </c>
      <c r="K61" s="23" t="e">
        <f t="shared" si="0"/>
        <v>#N/A</v>
      </c>
      <c r="M61" s="20">
        <v>0.238876404494382</v>
      </c>
      <c r="N61" s="21">
        <v>0.4380887954090846</v>
      </c>
      <c r="O61" s="21" t="e">
        <f t="shared" si="3"/>
        <v>#N/A</v>
      </c>
      <c r="Q61" s="20" t="str">
        <f t="shared" si="1"/>
        <v>N</v>
      </c>
      <c r="R61" s="23">
        <v>0</v>
      </c>
      <c r="S61" s="23" t="e">
        <f t="shared" si="4"/>
        <v>#N/A</v>
      </c>
      <c r="U61" s="125">
        <f t="shared" si="5"/>
        <v>5.358088795409085</v>
      </c>
      <c r="V61" s="125" t="e">
        <f t="shared" si="6"/>
        <v>#N/A</v>
      </c>
      <c r="X61" s="126"/>
    </row>
    <row r="62" spans="1:24" ht="15">
      <c r="A62" s="72">
        <v>2082</v>
      </c>
      <c r="B62" s="129" t="s">
        <v>44</v>
      </c>
      <c r="C62" s="99" t="s">
        <v>157</v>
      </c>
      <c r="D62" s="72"/>
      <c r="E62" s="165" t="e">
        <f>VLOOKUP(A62,'[4]EYSFF Additional Hrs'!$A$134:$G$191,5,0)</f>
        <v>#N/A</v>
      </c>
      <c r="F62" s="165" t="e">
        <f>VLOOKUP(A62,'[4]EYSFF Additional Hrs'!$A$134:$G$191,6,0)</f>
        <v>#N/A</v>
      </c>
      <c r="G62" s="165" t="e">
        <f>VLOOKUP(A62,'[4]EYSFF Additional Hrs'!$A$134:$G$191,7,0)</f>
        <v>#N/A</v>
      </c>
      <c r="H62" s="168" t="e">
        <f t="shared" si="2"/>
        <v>#N/A</v>
      </c>
      <c r="J62" s="124">
        <v>4.92</v>
      </c>
      <c r="K62" s="23" t="e">
        <f t="shared" si="0"/>
        <v>#N/A</v>
      </c>
      <c r="M62" s="20">
        <v>0.27410071942446035</v>
      </c>
      <c r="N62" s="21">
        <v>0.5026886361907269</v>
      </c>
      <c r="O62" s="21" t="e">
        <f t="shared" si="3"/>
        <v>#N/A</v>
      </c>
      <c r="Q62" s="20" t="str">
        <f t="shared" si="1"/>
        <v>Y</v>
      </c>
      <c r="R62" s="23">
        <v>0.29</v>
      </c>
      <c r="S62" s="23" t="e">
        <f t="shared" si="4"/>
        <v>#N/A</v>
      </c>
      <c r="U62" s="125">
        <f t="shared" si="5"/>
        <v>5.712688636190727</v>
      </c>
      <c r="V62" s="125" t="e">
        <f t="shared" si="6"/>
        <v>#N/A</v>
      </c>
      <c r="X62" s="126"/>
    </row>
    <row r="63" spans="1:24" ht="15">
      <c r="A63" s="72">
        <v>2060</v>
      </c>
      <c r="B63" s="174" t="s">
        <v>94</v>
      </c>
      <c r="C63" s="99" t="s">
        <v>157</v>
      </c>
      <c r="D63" s="72"/>
      <c r="E63" s="165" t="e">
        <f>VLOOKUP(A63,'[4]EYSFF Additional Hrs'!$A$134:$G$191,5,0)</f>
        <v>#N/A</v>
      </c>
      <c r="F63" s="165" t="e">
        <f>VLOOKUP(A63,'[4]EYSFF Additional Hrs'!$A$134:$G$191,6,0)</f>
        <v>#N/A</v>
      </c>
      <c r="G63" s="165" t="e">
        <f>VLOOKUP(A63,'[4]EYSFF Additional Hrs'!$A$134:$G$191,7,0)</f>
        <v>#N/A</v>
      </c>
      <c r="H63" s="168" t="e">
        <f t="shared" si="2"/>
        <v>#N/A</v>
      </c>
      <c r="J63" s="124">
        <v>4.92</v>
      </c>
      <c r="K63" s="23" t="e">
        <f t="shared" si="0"/>
        <v>#N/A</v>
      </c>
      <c r="M63" s="20">
        <v>0.25147368421052657</v>
      </c>
      <c r="N63" s="21">
        <v>0.4611916510802351</v>
      </c>
      <c r="O63" s="21" t="e">
        <f t="shared" si="3"/>
        <v>#N/A</v>
      </c>
      <c r="Q63" s="20" t="str">
        <f t="shared" si="1"/>
        <v>Y</v>
      </c>
      <c r="R63" s="23">
        <v>0.29</v>
      </c>
      <c r="S63" s="23" t="e">
        <f t="shared" si="4"/>
        <v>#N/A</v>
      </c>
      <c r="U63" s="125">
        <f t="shared" si="5"/>
        <v>5.671191651080235</v>
      </c>
      <c r="V63" s="125" t="e">
        <f t="shared" si="6"/>
        <v>#N/A</v>
      </c>
      <c r="X63" s="126"/>
    </row>
    <row r="64" spans="2:24" ht="15">
      <c r="B64" s="128"/>
      <c r="C64" s="99"/>
      <c r="D64" s="72"/>
      <c r="E64" s="20"/>
      <c r="F64" s="20"/>
      <c r="G64" s="122"/>
      <c r="H64" s="123"/>
      <c r="J64" s="127"/>
      <c r="K64" s="23"/>
      <c r="M64" s="20"/>
      <c r="N64" s="80"/>
      <c r="O64" s="21"/>
      <c r="Q64" s="20"/>
      <c r="R64" s="23"/>
      <c r="S64" s="23"/>
      <c r="U64" s="125"/>
      <c r="V64" s="125"/>
      <c r="X64" s="126"/>
    </row>
    <row r="65" spans="2:24" s="107" customFormat="1" ht="15">
      <c r="B65" s="130" t="s">
        <v>108</v>
      </c>
      <c r="C65" s="131"/>
      <c r="D65" s="132"/>
      <c r="E65" s="168" t="e">
        <f>SUM(E6:E64)</f>
        <v>#N/A</v>
      </c>
      <c r="F65" s="168" t="e">
        <f>SUM(F6:F64)</f>
        <v>#N/A</v>
      </c>
      <c r="G65" s="168">
        <v>588600</v>
      </c>
      <c r="H65" s="168" t="e">
        <f>SUM(H6:H64)</f>
        <v>#N/A</v>
      </c>
      <c r="J65" s="133"/>
      <c r="K65" s="126" t="e">
        <f>SUM(K6:K63)</f>
        <v>#N/A</v>
      </c>
      <c r="M65" s="123"/>
      <c r="N65" s="134"/>
      <c r="O65" s="125" t="e">
        <f>SUM(O6:O63)</f>
        <v>#N/A</v>
      </c>
      <c r="Q65" s="123"/>
      <c r="R65" s="126"/>
      <c r="S65" s="125" t="e">
        <f>SUM(S6:S63)</f>
        <v>#N/A</v>
      </c>
      <c r="U65" s="125"/>
      <c r="V65" s="125" t="e">
        <f>SUM(V6:V63)</f>
        <v>#N/A</v>
      </c>
      <c r="X65" s="126"/>
    </row>
    <row r="66" spans="2:24" ht="15">
      <c r="B66" s="128" t="s">
        <v>169</v>
      </c>
      <c r="C66" s="99"/>
      <c r="D66" s="72"/>
      <c r="E66" s="20"/>
      <c r="F66" s="20"/>
      <c r="G66" s="122"/>
      <c r="H66" s="123"/>
      <c r="J66" s="127"/>
      <c r="K66" s="23"/>
      <c r="M66" s="20"/>
      <c r="N66" s="80"/>
      <c r="O66" s="21"/>
      <c r="Q66" s="20"/>
      <c r="R66" s="23"/>
      <c r="S66" s="23"/>
      <c r="U66" s="125"/>
      <c r="V66" s="125"/>
      <c r="X66" s="126"/>
    </row>
    <row r="67" spans="2:24" ht="15">
      <c r="B67" s="135"/>
      <c r="C67" s="136"/>
      <c r="D67" s="72"/>
      <c r="E67" s="24"/>
      <c r="F67" s="24"/>
      <c r="G67" s="137"/>
      <c r="H67" s="138"/>
      <c r="J67" s="139"/>
      <c r="K67" s="27"/>
      <c r="M67" s="24"/>
      <c r="N67" s="140"/>
      <c r="O67" s="25"/>
      <c r="Q67" s="24"/>
      <c r="R67" s="27"/>
      <c r="S67" s="27"/>
      <c r="U67" s="141"/>
      <c r="V67" s="141"/>
      <c r="X67" s="142"/>
    </row>
    <row r="68" spans="2:22" ht="15">
      <c r="B68" s="129"/>
      <c r="C68" s="72"/>
      <c r="D68" s="72"/>
      <c r="K68" s="103"/>
      <c r="N68" s="144"/>
      <c r="O68" s="145"/>
      <c r="S68" s="103"/>
      <c r="U68" s="146"/>
      <c r="V68" s="146"/>
    </row>
    <row r="69" spans="2:22" ht="15">
      <c r="B69" s="129"/>
      <c r="C69" s="72"/>
      <c r="D69" s="72"/>
      <c r="K69" s="103"/>
      <c r="N69" s="144"/>
      <c r="O69" s="145"/>
      <c r="S69" s="103"/>
      <c r="U69" s="146"/>
      <c r="V69" s="146"/>
    </row>
    <row r="70" spans="2:22" ht="15">
      <c r="B70" s="129"/>
      <c r="C70" s="72"/>
      <c r="D70" s="72"/>
      <c r="K70" s="103"/>
      <c r="N70" s="144"/>
      <c r="O70" s="145"/>
      <c r="R70" s="146">
        <f>AVERAGE(R6:R63)</f>
        <v>0.12</v>
      </c>
      <c r="S70" s="103"/>
      <c r="U70" s="146">
        <f>AVERAGE(U6:U63)</f>
        <v>5.437795355099174</v>
      </c>
      <c r="V70" s="146"/>
    </row>
    <row r="71" spans="2:22" ht="15">
      <c r="B71" s="129"/>
      <c r="C71" s="72"/>
      <c r="D71" s="72"/>
      <c r="K71" s="103"/>
      <c r="N71" s="144"/>
      <c r="O71" s="145"/>
      <c r="R71" s="146">
        <f>MAX(R6:R63)</f>
        <v>0.29</v>
      </c>
      <c r="S71" s="103"/>
      <c r="U71" s="146">
        <f>MAX(U6:U63)</f>
        <v>5.79612239773767</v>
      </c>
      <c r="V71" s="146"/>
    </row>
    <row r="72" spans="2:22" ht="15">
      <c r="B72" s="129"/>
      <c r="C72" s="72"/>
      <c r="D72" s="72"/>
      <c r="K72" s="103"/>
      <c r="N72" s="144"/>
      <c r="O72" s="145"/>
      <c r="R72" s="146">
        <f>MIN(R6:R63)</f>
        <v>0</v>
      </c>
      <c r="S72" s="103"/>
      <c r="U72" s="146">
        <f>MIN(U6:U63)</f>
        <v>5.043540107363223</v>
      </c>
      <c r="V72" s="146"/>
    </row>
    <row r="73" spans="2:22" ht="15">
      <c r="B73" s="129"/>
      <c r="C73" s="72"/>
      <c r="D73" s="72"/>
      <c r="K73" s="103"/>
      <c r="N73" s="144"/>
      <c r="O73" s="145"/>
      <c r="S73" s="103"/>
      <c r="U73" s="146"/>
      <c r="V73" s="146"/>
    </row>
    <row r="74" spans="2:22" ht="15">
      <c r="B74" s="129"/>
      <c r="C74" s="72"/>
      <c r="D74" s="72"/>
      <c r="K74" s="103"/>
      <c r="N74" s="144"/>
      <c r="O74" s="145"/>
      <c r="S74" s="103"/>
      <c r="U74" s="146"/>
      <c r="V74" s="146"/>
    </row>
    <row r="76" spans="11:21" ht="15">
      <c r="K76" s="145"/>
      <c r="O76" s="145"/>
      <c r="S76" s="145"/>
      <c r="U76" s="147"/>
    </row>
    <row r="77" spans="11:21" ht="15">
      <c r="K77" s="103"/>
      <c r="O77" s="145"/>
      <c r="S77" s="103"/>
      <c r="U77" s="146"/>
    </row>
    <row r="78" ht="15">
      <c r="U78" s="146"/>
    </row>
  </sheetData>
  <sheetProtection/>
  <mergeCells count="4">
    <mergeCell ref="E3:H3"/>
    <mergeCell ref="J3:K3"/>
    <mergeCell ref="M3:O3"/>
    <mergeCell ref="Q3:S3"/>
  </mergeCells>
  <printOptions/>
  <pageMargins left="0.5905511811023623" right="0.3937007874015748" top="0.984251968503937" bottom="0.984251968503937" header="0.5118110236220472" footer="0.5118110236220472"/>
  <pageSetup fitToHeight="2" horizontalDpi="600" verticalDpi="600" orientation="landscape" paperSize="8" scale="65" r:id="rId1"/>
  <headerFooter alignWithMargins="0">
    <oddFooter>&amp;L&amp;D&amp;C&amp;F</oddFooter>
  </headerFooter>
</worksheet>
</file>

<file path=xl/worksheets/sheet7.xml><?xml version="1.0" encoding="utf-8"?>
<worksheet xmlns="http://schemas.openxmlformats.org/spreadsheetml/2006/main" xmlns:r="http://schemas.openxmlformats.org/officeDocument/2006/relationships">
  <dimension ref="B1:C16"/>
  <sheetViews>
    <sheetView zoomScalePageLayoutView="0" workbookViewId="0" topLeftCell="A1">
      <selection activeCell="C11" sqref="C11"/>
    </sheetView>
  </sheetViews>
  <sheetFormatPr defaultColWidth="9.140625" defaultRowHeight="12.75"/>
  <sheetData>
    <row r="1" ht="12.75">
      <c r="C1" t="s">
        <v>213</v>
      </c>
    </row>
    <row r="2" spans="2:3" ht="12.75">
      <c r="B2" s="154">
        <v>1</v>
      </c>
      <c r="C2" t="s">
        <v>210</v>
      </c>
    </row>
    <row r="3" spans="2:3" ht="12.75">
      <c r="B3" s="154">
        <v>2</v>
      </c>
      <c r="C3" t="s">
        <v>211</v>
      </c>
    </row>
    <row r="4" spans="2:3" ht="12.75">
      <c r="B4" s="154">
        <v>3</v>
      </c>
      <c r="C4" t="s">
        <v>212</v>
      </c>
    </row>
    <row r="5" spans="2:3" ht="12.75">
      <c r="B5" s="154">
        <v>4</v>
      </c>
      <c r="C5" t="s">
        <v>214</v>
      </c>
    </row>
    <row r="6" spans="2:3" ht="12.75">
      <c r="B6" s="154">
        <v>5</v>
      </c>
      <c r="C6" t="s">
        <v>215</v>
      </c>
    </row>
    <row r="7" spans="2:3" ht="12.75">
      <c r="B7" s="154">
        <v>6</v>
      </c>
      <c r="C7" t="s">
        <v>217</v>
      </c>
    </row>
    <row r="8" spans="2:3" ht="12.75">
      <c r="B8" s="154">
        <v>7</v>
      </c>
      <c r="C8" t="s">
        <v>220</v>
      </c>
    </row>
    <row r="9" spans="2:3" ht="12.75">
      <c r="B9" s="154">
        <v>8</v>
      </c>
      <c r="C9" t="s">
        <v>221</v>
      </c>
    </row>
    <row r="10" spans="2:3" ht="12.75">
      <c r="B10" s="154">
        <v>9</v>
      </c>
      <c r="C10" t="s">
        <v>222</v>
      </c>
    </row>
    <row r="11" ht="12.75">
      <c r="B11" s="154">
        <v>10</v>
      </c>
    </row>
    <row r="12" ht="12.75">
      <c r="B12" s="154">
        <v>11</v>
      </c>
    </row>
    <row r="13" ht="12.75">
      <c r="B13" s="154">
        <v>12</v>
      </c>
    </row>
    <row r="14" ht="12.75">
      <c r="B14" s="154">
        <v>13</v>
      </c>
    </row>
    <row r="15" ht="12.75">
      <c r="B15" s="154">
        <v>14</v>
      </c>
    </row>
    <row r="16" ht="12.75">
      <c r="B16" s="154">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Hillingdon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Munro</dc:creator>
  <cp:keywords/>
  <dc:description/>
  <cp:lastModifiedBy>Chloe-Mai Parfitt</cp:lastModifiedBy>
  <cp:lastPrinted>2019-02-26T14:04:47Z</cp:lastPrinted>
  <dcterms:created xsi:type="dcterms:W3CDTF">2013-01-31T15:35:29Z</dcterms:created>
  <dcterms:modified xsi:type="dcterms:W3CDTF">2019-07-30T08:59:17Z</dcterms:modified>
  <cp:category/>
  <cp:version/>
  <cp:contentType/>
  <cp:contentStatus/>
</cp:coreProperties>
</file>