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24226"/>
  <mc:AlternateContent xmlns:mc="http://schemas.openxmlformats.org/markup-compatibility/2006">
    <mc:Choice Requires="x15">
      <x15ac:absPath xmlns:x15ac="http://schemas.microsoft.com/office/spreadsheetml/2010/11/ac" url="https://hillingdon-my.sharepoint.com/personal/sdenbeigh_hillingdon_gov_uk1/Documents/Desktop/Files for Corp web/School Budgets/Mainstream/"/>
    </mc:Choice>
  </mc:AlternateContent>
  <xr:revisionPtr revIDLastSave="15" documentId="8_{2F9C5111-CF79-4872-B4FB-D1185AEF20AA}" xr6:coauthVersionLast="47" xr6:coauthVersionMax="47" xr10:uidLastSave="{564BFF6E-C390-498A-B948-990F31D92F03}"/>
  <bookViews>
    <workbookView xWindow="66140" yWindow="1350" windowWidth="20360" windowHeight="14060" tabRatio="711" activeTab="1" xr2:uid="{00000000-000D-0000-FFFF-FFFF00000000}"/>
  </bookViews>
  <sheets>
    <sheet name="Notes" sheetId="8" r:id="rId1"/>
    <sheet name="Indv Schools" sheetId="2" r:id="rId2"/>
    <sheet name="All Schools" sheetId="1" r:id="rId3"/>
    <sheet name="EY Universal 15" sheetId="18" state="hidden" r:id="rId4"/>
    <sheet name="Sheet1" sheetId="14" state="hidden" r:id="rId5"/>
    <sheet name="EY Additional 15" sheetId="19" state="hidden" r:id="rId6"/>
    <sheet name="McMillan " sheetId="9" r:id="rId7"/>
    <sheet name="EYSFF Calculator" sheetId="16" r:id="rId8"/>
  </sheets>
  <definedNames>
    <definedName name="_xlnm._FilterDatabase" localSheetId="2" hidden="1">'All Schools'!$A$4:$CV$93</definedName>
    <definedName name="_xlnm._FilterDatabase" localSheetId="5" hidden="1">'EY Additional 15'!$A$9:$X$61</definedName>
    <definedName name="_xlnm._FilterDatabase" localSheetId="3" hidden="1">'EY Universal 15'!$A$10:$AA$68</definedName>
    <definedName name="_xlnm._FilterDatabase" localSheetId="1" hidden="1">'Indv Schools'!$M$5:$M$70</definedName>
    <definedName name="Ab">#REF!</definedName>
    <definedName name="All_distance_threshold">#REF!</definedName>
    <definedName name="All_PupilNo_threshold">#REF!</definedName>
    <definedName name="an">#REF!</definedName>
    <definedName name="Anchor_Factors">#REF!</definedName>
    <definedName name="Anchor_NDShare">#REF!</definedName>
    <definedName name="AWPU_KS3_Rate">#REF!</definedName>
    <definedName name="AWPU_KS4_Rate">#REF!</definedName>
    <definedName name="AWPU_Pri_Rate">#REF!</definedName>
    <definedName name="Capping_Scaling_YesNo">#REF!</definedName>
    <definedName name="Ceiling">#REF!</definedName>
    <definedName name="Col_Ref_Factors">#REF!</definedName>
    <definedName name="Col_Ref_NDShare">#REF!</definedName>
    <definedName name="current_year">#REF!</definedName>
    <definedName name="EAL_Pri">#REF!</definedName>
    <definedName name="EAL_Pri_Option">#REF!</definedName>
    <definedName name="EAL_Sec">#REF!</definedName>
    <definedName name="EAL_Sec_Option">#REF!</definedName>
    <definedName name="Ever6_pri_rate">#REF!</definedName>
    <definedName name="Ever6_sec_rate">#REF!</definedName>
    <definedName name="FSM_Pri_Rate">#REF!</definedName>
    <definedName name="FSM_Sec_Rate">#REF!</definedName>
    <definedName name="IDACI_B1_Pri">'All Schools'!$F$17</definedName>
    <definedName name="IDACI_B1_Sec">#REF!</definedName>
    <definedName name="IDACI_B2_Pri">'All Schools'!$F$18</definedName>
    <definedName name="IDACI_B2_Sec">#REF!</definedName>
    <definedName name="IDACI_B3_Pri">'All Schools'!$F$19</definedName>
    <definedName name="IDACI_B3_Sec">#REF!</definedName>
    <definedName name="IDACI_B4_Pri">'All Schools'!$F$20</definedName>
    <definedName name="IDACI_B4_Sec">#REF!</definedName>
    <definedName name="IDACI_B5_Pri">'All Schools'!$F$21</definedName>
    <definedName name="IDACI_B5_Sec">#REF!</definedName>
    <definedName name="IDACI_B6_Pri">#REF!</definedName>
    <definedName name="IDACI_B6_Sec">#REF!</definedName>
    <definedName name="ISB">#REF!</definedName>
    <definedName name="LAC_Rate">#REF!</definedName>
    <definedName name="LCHI_Pri">#REF!</definedName>
    <definedName name="LCHI_Sec">#REF!</definedName>
    <definedName name="MFG_Rate">#REF!</definedName>
    <definedName name="Mid_distance_threshold">#REF!</definedName>
    <definedName name="Mid_PupilNo_threshold">#REF!</definedName>
    <definedName name="min_pupil_rate_KS3">#REF!</definedName>
    <definedName name="min_pupil_rate_KS4">#REF!</definedName>
    <definedName name="min_pupil_rate_pri">#REF!</definedName>
    <definedName name="Mobility_Pri">#REF!</definedName>
    <definedName name="Mobility_Sec">#REF!</definedName>
    <definedName name="Notional_SEN_AWPU_KS3">#REF!</definedName>
    <definedName name="Notional_SEN_AWPU_KS4">#REF!</definedName>
    <definedName name="Notional_SEN_AWPU_Pri">#REF!</definedName>
    <definedName name="Notional_SEN_EAL_Pri">#REF!</definedName>
    <definedName name="Notional_SEN_EAL_Sec">#REF!</definedName>
    <definedName name="Notional_SEN_Ever6_Pri">#REF!</definedName>
    <definedName name="Notional_SEN_Ever6_Sec">#REF!</definedName>
    <definedName name="Notional_SEN_ExCir2">#REF!</definedName>
    <definedName name="Notional_SEN_ExCir3">#REF!</definedName>
    <definedName name="Notional_SEN_ExCir4">#REF!</definedName>
    <definedName name="Notional_SEN_ExCir5">#REF!</definedName>
    <definedName name="Notional_SEN_ExCir6">#REF!</definedName>
    <definedName name="Notional_SEN_ExCir7">#REF!</definedName>
    <definedName name="Notional_SEN_FSM_Pri">#REF!</definedName>
    <definedName name="Notional_SEN_FSM_Sec">#REF!</definedName>
    <definedName name="Notional_SEN_IDACI_B1_Pri">#REF!</definedName>
    <definedName name="Notional_SEN_IDACI_B1_Sec">#REF!</definedName>
    <definedName name="Notional_SEN_IDACI_B2_Pri">#REF!</definedName>
    <definedName name="Notional_SEN_IDACI_B2_Sec">#REF!</definedName>
    <definedName name="Notional_SEN_IDACI_B3_Pri">#REF!</definedName>
    <definedName name="Notional_SEN_IDACI_B3_Sec">#REF!</definedName>
    <definedName name="Notional_SEN_IDACI_B4_Pri">#REF!</definedName>
    <definedName name="Notional_SEN_IDACI_B4_Sec">#REF!</definedName>
    <definedName name="Notional_SEN_IDACI_B5_Pri">#REF!</definedName>
    <definedName name="Notional_SEN_IDACI_B5_Sec">#REF!</definedName>
    <definedName name="Notional_SEN_IDACI_B6_Pri">#REF!</definedName>
    <definedName name="Notional_SEN_IDACI_B6_Sec">#REF!</definedName>
    <definedName name="Notional_SEN_LAC">#REF!</definedName>
    <definedName name="Notional_SEN_LCHI_Pri">#REF!</definedName>
    <definedName name="Notional_SEN_LCHI_Sec">#REF!</definedName>
    <definedName name="Notional_SEN_Lump_sum_Pri">#REF!</definedName>
    <definedName name="Notional_SEN_Lump_sum_Sec">#REF!</definedName>
    <definedName name="Notional_SEN_MFG">#REF!</definedName>
    <definedName name="Notional_SEN_Mobility_Pri">#REF!</definedName>
    <definedName name="Notional_SEN_Mobility_Sec">#REF!</definedName>
    <definedName name="Notional_SEN_MPPF">#REF!</definedName>
    <definedName name="Notional_SEN_PFI">#REF!</definedName>
    <definedName name="Notional_SEN_Rates">#REF!</definedName>
    <definedName name="Notional_SEN_Sparsity_Pri">#REF!</definedName>
    <definedName name="Notional_SEN_Sparsity_Sec">#REF!</definedName>
    <definedName name="Notional_SEN_Split_sites">#REF!</definedName>
    <definedName name="previous_year">#REF!</definedName>
    <definedName name="Pri_distance_threshold">#REF!</definedName>
    <definedName name="Pri_PupilNo_threshold">#REF!</definedName>
    <definedName name="Primary_Lump_sum">#REF!</definedName>
    <definedName name="_xlnm.Print_Area" localSheetId="2">'All Schools'!$A$1:$CU$95</definedName>
    <definedName name="_xlnm.Print_Area" localSheetId="1">'Indv Schools'!$A$1:$G$84</definedName>
    <definedName name="_xlnm.Print_Area" localSheetId="0">Notes!$B$1:$C$31</definedName>
    <definedName name="_xlnm.Print_Titles" localSheetId="2">'All Schools'!$B:$C</definedName>
    <definedName name="_xlnm.Print_Titles" localSheetId="0">Notes!$1:$1</definedName>
    <definedName name="Reception_Uplift_YesNo">#REF!</definedName>
    <definedName name="Scaling_Factor">#REF!</definedName>
    <definedName name="School_URN_Factors">#REF!</definedName>
    <definedName name="School_URN_NDShare">#REF!</definedName>
    <definedName name="Sec_distance_threshold">#REF!</definedName>
    <definedName name="Sec_PupilNo_threshold">#REF!</definedName>
    <definedName name="Secondary_Lump_Sum">#REF!</definedName>
    <definedName name="Sparsity_All_lump_sum">#REF!</definedName>
    <definedName name="Sparsity_Mid_lump_sum">#REF!</definedName>
    <definedName name="Sparsity_Pri_lump_sum">#REF!</definedName>
    <definedName name="Sparsity_Sec_lump_sum">#REF!</definedName>
    <definedName name="ste">#REF!</definedName>
    <definedName name="Tapered_all_lump_sum">#REF!</definedName>
    <definedName name="Tapered_mid_lump_sum">#REF!</definedName>
    <definedName name="Tapered_primary_lump_sum">#REF!</definedName>
    <definedName name="Tapered_secondary_lump_sum">#REF!</definedName>
    <definedName name="ty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16" l="1"/>
  <c r="I6" i="1"/>
  <c r="J6" i="1"/>
  <c r="K6" i="1"/>
  <c r="L6" i="1"/>
  <c r="M6" i="1"/>
  <c r="N6" i="1"/>
  <c r="O6" i="1"/>
  <c r="P6" i="1"/>
  <c r="Q6" i="1"/>
  <c r="R6" i="1"/>
  <c r="S6" i="1"/>
  <c r="T6" i="1"/>
  <c r="U6" i="1"/>
  <c r="V6" i="1"/>
  <c r="W6" i="1"/>
  <c r="X6" i="1"/>
  <c r="Y6" i="1"/>
  <c r="Z6" i="1"/>
  <c r="AA6" i="1"/>
  <c r="AB6" i="1"/>
  <c r="AC6" i="1"/>
  <c r="AD6" i="1"/>
  <c r="I7" i="1"/>
  <c r="J7" i="1"/>
  <c r="K7" i="1"/>
  <c r="L7" i="1"/>
  <c r="M7" i="1"/>
  <c r="N7" i="1"/>
  <c r="O7" i="1"/>
  <c r="P7" i="1"/>
  <c r="Q7" i="1"/>
  <c r="R7" i="1"/>
  <c r="S7" i="1"/>
  <c r="T7" i="1"/>
  <c r="U7" i="1"/>
  <c r="V7" i="1"/>
  <c r="W7" i="1"/>
  <c r="X7" i="1"/>
  <c r="Y7" i="1"/>
  <c r="Z7" i="1"/>
  <c r="AA7" i="1"/>
  <c r="AB7" i="1"/>
  <c r="AC7" i="1"/>
  <c r="AD7" i="1"/>
  <c r="I8" i="1"/>
  <c r="J8" i="1"/>
  <c r="K8" i="1"/>
  <c r="L8" i="1"/>
  <c r="M8" i="1"/>
  <c r="N8" i="1"/>
  <c r="O8" i="1"/>
  <c r="P8" i="1"/>
  <c r="Q8" i="1"/>
  <c r="R8" i="1"/>
  <c r="S8" i="1"/>
  <c r="T8" i="1"/>
  <c r="U8" i="1"/>
  <c r="V8" i="1"/>
  <c r="W8" i="1"/>
  <c r="X8" i="1"/>
  <c r="Y8" i="1"/>
  <c r="Z8" i="1"/>
  <c r="AA8" i="1"/>
  <c r="AB8" i="1"/>
  <c r="AC8" i="1"/>
  <c r="AD8" i="1"/>
  <c r="I9" i="1"/>
  <c r="J9" i="1"/>
  <c r="K9" i="1"/>
  <c r="L9" i="1"/>
  <c r="M9" i="1"/>
  <c r="N9" i="1"/>
  <c r="O9" i="1"/>
  <c r="P9" i="1"/>
  <c r="Q9" i="1"/>
  <c r="R9" i="1"/>
  <c r="S9" i="1"/>
  <c r="T9" i="1"/>
  <c r="U9" i="1"/>
  <c r="V9" i="1"/>
  <c r="W9" i="1"/>
  <c r="X9" i="1"/>
  <c r="Y9" i="1"/>
  <c r="Z9" i="1"/>
  <c r="AA9" i="1"/>
  <c r="AB9" i="1"/>
  <c r="AC9" i="1"/>
  <c r="AD9" i="1"/>
  <c r="I10" i="1"/>
  <c r="J10" i="1"/>
  <c r="K10" i="1"/>
  <c r="L10" i="1"/>
  <c r="M10" i="1"/>
  <c r="N10" i="1"/>
  <c r="O10" i="1"/>
  <c r="P10" i="1"/>
  <c r="Q10" i="1"/>
  <c r="R10" i="1"/>
  <c r="S10" i="1"/>
  <c r="T10" i="1"/>
  <c r="U10" i="1"/>
  <c r="V10" i="1"/>
  <c r="W10" i="1"/>
  <c r="X10" i="1"/>
  <c r="Y10" i="1"/>
  <c r="Z10" i="1"/>
  <c r="AA10" i="1"/>
  <c r="AB10" i="1"/>
  <c r="AC10" i="1"/>
  <c r="AD10" i="1"/>
  <c r="I11" i="1"/>
  <c r="J11" i="1"/>
  <c r="K11" i="1"/>
  <c r="L11" i="1"/>
  <c r="M11" i="1"/>
  <c r="N11" i="1"/>
  <c r="O11" i="1"/>
  <c r="P11" i="1"/>
  <c r="Q11" i="1"/>
  <c r="R11" i="1"/>
  <c r="S11" i="1"/>
  <c r="T11" i="1"/>
  <c r="U11" i="1"/>
  <c r="V11" i="1"/>
  <c r="W11" i="1"/>
  <c r="X11" i="1"/>
  <c r="Y11" i="1"/>
  <c r="Z11" i="1"/>
  <c r="AA11" i="1"/>
  <c r="AB11" i="1"/>
  <c r="AC11" i="1"/>
  <c r="AD11" i="1"/>
  <c r="I12" i="1"/>
  <c r="J12" i="1"/>
  <c r="K12" i="1"/>
  <c r="L12" i="1"/>
  <c r="M12" i="1"/>
  <c r="N12" i="1"/>
  <c r="O12" i="1"/>
  <c r="P12" i="1"/>
  <c r="Q12" i="1"/>
  <c r="R12" i="1"/>
  <c r="S12" i="1"/>
  <c r="T12" i="1"/>
  <c r="U12" i="1"/>
  <c r="V12" i="1"/>
  <c r="W12" i="1"/>
  <c r="X12" i="1"/>
  <c r="Y12" i="1"/>
  <c r="Z12" i="1"/>
  <c r="AA12" i="1"/>
  <c r="AB12" i="1"/>
  <c r="AC12" i="1"/>
  <c r="AD12" i="1"/>
  <c r="I13" i="1"/>
  <c r="J13" i="1"/>
  <c r="K13" i="1"/>
  <c r="L13" i="1"/>
  <c r="M13" i="1"/>
  <c r="N13" i="1"/>
  <c r="O13" i="1"/>
  <c r="P13" i="1"/>
  <c r="Q13" i="1"/>
  <c r="R13" i="1"/>
  <c r="S13" i="1"/>
  <c r="T13" i="1"/>
  <c r="U13" i="1"/>
  <c r="V13" i="1"/>
  <c r="W13" i="1"/>
  <c r="X13" i="1"/>
  <c r="Y13" i="1"/>
  <c r="Z13" i="1"/>
  <c r="AA13" i="1"/>
  <c r="AB13" i="1"/>
  <c r="AC13" i="1"/>
  <c r="AD13" i="1"/>
  <c r="I14" i="1"/>
  <c r="J14" i="1"/>
  <c r="K14" i="1"/>
  <c r="L14" i="1"/>
  <c r="M14" i="1"/>
  <c r="N14" i="1"/>
  <c r="O14" i="1"/>
  <c r="P14" i="1"/>
  <c r="Q14" i="1"/>
  <c r="R14" i="1"/>
  <c r="S14" i="1"/>
  <c r="T14" i="1"/>
  <c r="U14" i="1"/>
  <c r="V14" i="1"/>
  <c r="W14" i="1"/>
  <c r="X14" i="1"/>
  <c r="Y14" i="1"/>
  <c r="Z14" i="1"/>
  <c r="AA14" i="1"/>
  <c r="AB14" i="1"/>
  <c r="AC14" i="1"/>
  <c r="AD14" i="1"/>
  <c r="I15" i="1"/>
  <c r="J15" i="1"/>
  <c r="K15" i="1"/>
  <c r="L15" i="1"/>
  <c r="M15" i="1"/>
  <c r="N15" i="1"/>
  <c r="O15" i="1"/>
  <c r="P15" i="1"/>
  <c r="Q15" i="1"/>
  <c r="R15" i="1"/>
  <c r="S15" i="1"/>
  <c r="T15" i="1"/>
  <c r="U15" i="1"/>
  <c r="V15" i="1"/>
  <c r="W15" i="1"/>
  <c r="X15" i="1"/>
  <c r="Y15" i="1"/>
  <c r="Z15" i="1"/>
  <c r="AA15" i="1"/>
  <c r="AB15" i="1"/>
  <c r="AC15" i="1"/>
  <c r="AD15" i="1"/>
  <c r="I16" i="1"/>
  <c r="J16" i="1"/>
  <c r="K16" i="1"/>
  <c r="L16" i="1"/>
  <c r="M16" i="1"/>
  <c r="N16" i="1"/>
  <c r="O16" i="1"/>
  <c r="P16" i="1"/>
  <c r="Q16" i="1"/>
  <c r="R16" i="1"/>
  <c r="S16" i="1"/>
  <c r="T16" i="1"/>
  <c r="U16" i="1"/>
  <c r="V16" i="1"/>
  <c r="W16" i="1"/>
  <c r="X16" i="1"/>
  <c r="Y16" i="1"/>
  <c r="Z16" i="1"/>
  <c r="AA16" i="1"/>
  <c r="AB16" i="1"/>
  <c r="AC16" i="1"/>
  <c r="AD16" i="1"/>
  <c r="I17" i="1"/>
  <c r="J17" i="1"/>
  <c r="K17" i="1"/>
  <c r="L17" i="1"/>
  <c r="M17" i="1"/>
  <c r="N17" i="1"/>
  <c r="O17" i="1"/>
  <c r="P17" i="1"/>
  <c r="Q17" i="1"/>
  <c r="R17" i="1"/>
  <c r="S17" i="1"/>
  <c r="T17" i="1"/>
  <c r="U17" i="1"/>
  <c r="V17" i="1"/>
  <c r="W17" i="1"/>
  <c r="X17" i="1"/>
  <c r="Y17" i="1"/>
  <c r="Z17" i="1"/>
  <c r="AA17" i="1"/>
  <c r="AB17" i="1"/>
  <c r="AC17" i="1"/>
  <c r="AD17" i="1"/>
  <c r="I18" i="1"/>
  <c r="J18" i="1"/>
  <c r="K18" i="1"/>
  <c r="L18" i="1"/>
  <c r="M18" i="1"/>
  <c r="N18" i="1"/>
  <c r="O18" i="1"/>
  <c r="P18" i="1"/>
  <c r="Q18" i="1"/>
  <c r="R18" i="1"/>
  <c r="S18" i="1"/>
  <c r="T18" i="1"/>
  <c r="U18" i="1"/>
  <c r="V18" i="1"/>
  <c r="W18" i="1"/>
  <c r="X18" i="1"/>
  <c r="Y18" i="1"/>
  <c r="Z18" i="1"/>
  <c r="AA18" i="1"/>
  <c r="AB18" i="1"/>
  <c r="AC18" i="1"/>
  <c r="AD18" i="1"/>
  <c r="I19" i="1"/>
  <c r="J19" i="1"/>
  <c r="K19" i="1"/>
  <c r="L19" i="1"/>
  <c r="M19" i="1"/>
  <c r="N19" i="1"/>
  <c r="O19" i="1"/>
  <c r="P19" i="1"/>
  <c r="Q19" i="1"/>
  <c r="R19" i="1"/>
  <c r="S19" i="1"/>
  <c r="T19" i="1"/>
  <c r="U19" i="1"/>
  <c r="V19" i="1"/>
  <c r="W19" i="1"/>
  <c r="X19" i="1"/>
  <c r="Y19" i="1"/>
  <c r="Z19" i="1"/>
  <c r="AA19" i="1"/>
  <c r="AB19" i="1"/>
  <c r="AC19" i="1"/>
  <c r="AD19" i="1"/>
  <c r="I20" i="1"/>
  <c r="J20" i="1"/>
  <c r="K20" i="1"/>
  <c r="L20" i="1"/>
  <c r="M20" i="1"/>
  <c r="N20" i="1"/>
  <c r="O20" i="1"/>
  <c r="P20" i="1"/>
  <c r="Q20" i="1"/>
  <c r="R20" i="1"/>
  <c r="S20" i="1"/>
  <c r="T20" i="1"/>
  <c r="U20" i="1"/>
  <c r="V20" i="1"/>
  <c r="W20" i="1"/>
  <c r="X20" i="1"/>
  <c r="Y20" i="1"/>
  <c r="Z20" i="1"/>
  <c r="AA20" i="1"/>
  <c r="AB20" i="1"/>
  <c r="AC20" i="1"/>
  <c r="AD20" i="1"/>
  <c r="I21" i="1"/>
  <c r="J21" i="1"/>
  <c r="K21" i="1"/>
  <c r="L21" i="1"/>
  <c r="M21" i="1"/>
  <c r="N21" i="1"/>
  <c r="O21" i="1"/>
  <c r="P21" i="1"/>
  <c r="Q21" i="1"/>
  <c r="R21" i="1"/>
  <c r="S21" i="1"/>
  <c r="T21" i="1"/>
  <c r="U21" i="1"/>
  <c r="V21" i="1"/>
  <c r="W21" i="1"/>
  <c r="X21" i="1"/>
  <c r="Y21" i="1"/>
  <c r="Z21" i="1"/>
  <c r="AA21" i="1"/>
  <c r="AB21" i="1"/>
  <c r="AC21" i="1"/>
  <c r="AD21" i="1"/>
  <c r="I22" i="1"/>
  <c r="J22" i="1"/>
  <c r="K22" i="1"/>
  <c r="L22" i="1"/>
  <c r="M22" i="1"/>
  <c r="N22" i="1"/>
  <c r="O22" i="1"/>
  <c r="P22" i="1"/>
  <c r="Q22" i="1"/>
  <c r="R22" i="1"/>
  <c r="S22" i="1"/>
  <c r="T22" i="1"/>
  <c r="U22" i="1"/>
  <c r="V22" i="1"/>
  <c r="W22" i="1"/>
  <c r="X22" i="1"/>
  <c r="Y22" i="1"/>
  <c r="Z22" i="1"/>
  <c r="AA22" i="1"/>
  <c r="AB22" i="1"/>
  <c r="AC22" i="1"/>
  <c r="AD22" i="1"/>
  <c r="I23" i="1"/>
  <c r="J23" i="1"/>
  <c r="K23" i="1"/>
  <c r="L23" i="1"/>
  <c r="M23" i="1"/>
  <c r="N23" i="1"/>
  <c r="O23" i="1"/>
  <c r="P23" i="1"/>
  <c r="Q23" i="1"/>
  <c r="R23" i="1"/>
  <c r="S23" i="1"/>
  <c r="T23" i="1"/>
  <c r="U23" i="1"/>
  <c r="V23" i="1"/>
  <c r="W23" i="1"/>
  <c r="X23" i="1"/>
  <c r="Y23" i="1"/>
  <c r="Z23" i="1"/>
  <c r="AA23" i="1"/>
  <c r="AB23" i="1"/>
  <c r="AC23" i="1"/>
  <c r="AD23" i="1"/>
  <c r="I24" i="1"/>
  <c r="J24" i="1"/>
  <c r="K24" i="1"/>
  <c r="L24" i="1"/>
  <c r="M24" i="1"/>
  <c r="N24" i="1"/>
  <c r="O24" i="1"/>
  <c r="P24" i="1"/>
  <c r="Q24" i="1"/>
  <c r="R24" i="1"/>
  <c r="S24" i="1"/>
  <c r="T24" i="1"/>
  <c r="U24" i="1"/>
  <c r="V24" i="1"/>
  <c r="W24" i="1"/>
  <c r="X24" i="1"/>
  <c r="Y24" i="1"/>
  <c r="Z24" i="1"/>
  <c r="AA24" i="1"/>
  <c r="AB24" i="1"/>
  <c r="AC24" i="1"/>
  <c r="AD24" i="1"/>
  <c r="I25" i="1"/>
  <c r="J25" i="1"/>
  <c r="K25" i="1"/>
  <c r="L25" i="1"/>
  <c r="M25" i="1"/>
  <c r="N25" i="1"/>
  <c r="O25" i="1"/>
  <c r="P25" i="1"/>
  <c r="Q25" i="1"/>
  <c r="R25" i="1"/>
  <c r="S25" i="1"/>
  <c r="T25" i="1"/>
  <c r="U25" i="1"/>
  <c r="V25" i="1"/>
  <c r="W25" i="1"/>
  <c r="X25" i="1"/>
  <c r="Y25" i="1"/>
  <c r="Z25" i="1"/>
  <c r="AA25" i="1"/>
  <c r="AB25" i="1"/>
  <c r="AC25" i="1"/>
  <c r="AD25" i="1"/>
  <c r="I26" i="1"/>
  <c r="J26" i="1"/>
  <c r="K26" i="1"/>
  <c r="L26" i="1"/>
  <c r="M26" i="1"/>
  <c r="N26" i="1"/>
  <c r="O26" i="1"/>
  <c r="P26" i="1"/>
  <c r="Q26" i="1"/>
  <c r="R26" i="1"/>
  <c r="S26" i="1"/>
  <c r="T26" i="1"/>
  <c r="U26" i="1"/>
  <c r="V26" i="1"/>
  <c r="W26" i="1"/>
  <c r="X26" i="1"/>
  <c r="Y26" i="1"/>
  <c r="Z26" i="1"/>
  <c r="AA26" i="1"/>
  <c r="AB26" i="1"/>
  <c r="AC26" i="1"/>
  <c r="AD26" i="1"/>
  <c r="I27" i="1"/>
  <c r="J27" i="1"/>
  <c r="K27" i="1"/>
  <c r="L27" i="1"/>
  <c r="M27" i="1"/>
  <c r="N27" i="1"/>
  <c r="O27" i="1"/>
  <c r="P27" i="1"/>
  <c r="Q27" i="1"/>
  <c r="R27" i="1"/>
  <c r="S27" i="1"/>
  <c r="T27" i="1"/>
  <c r="U27" i="1"/>
  <c r="V27" i="1"/>
  <c r="W27" i="1"/>
  <c r="X27" i="1"/>
  <c r="Y27" i="1"/>
  <c r="Z27" i="1"/>
  <c r="AA27" i="1"/>
  <c r="AB27" i="1"/>
  <c r="AC27" i="1"/>
  <c r="AD27" i="1"/>
  <c r="I28" i="1"/>
  <c r="J28" i="1"/>
  <c r="K28" i="1"/>
  <c r="L28" i="1"/>
  <c r="M28" i="1"/>
  <c r="N28" i="1"/>
  <c r="O28" i="1"/>
  <c r="P28" i="1"/>
  <c r="Q28" i="1"/>
  <c r="R28" i="1"/>
  <c r="S28" i="1"/>
  <c r="T28" i="1"/>
  <c r="U28" i="1"/>
  <c r="V28" i="1"/>
  <c r="W28" i="1"/>
  <c r="X28" i="1"/>
  <c r="Y28" i="1"/>
  <c r="Z28" i="1"/>
  <c r="AA28" i="1"/>
  <c r="AB28" i="1"/>
  <c r="AC28" i="1"/>
  <c r="AD28" i="1"/>
  <c r="I29" i="1"/>
  <c r="J29" i="1"/>
  <c r="K29" i="1"/>
  <c r="L29" i="1"/>
  <c r="M29" i="1"/>
  <c r="N29" i="1"/>
  <c r="O29" i="1"/>
  <c r="P29" i="1"/>
  <c r="Q29" i="1"/>
  <c r="R29" i="1"/>
  <c r="S29" i="1"/>
  <c r="T29" i="1"/>
  <c r="U29" i="1"/>
  <c r="V29" i="1"/>
  <c r="W29" i="1"/>
  <c r="X29" i="1"/>
  <c r="Y29" i="1"/>
  <c r="Z29" i="1"/>
  <c r="AA29" i="1"/>
  <c r="AB29" i="1"/>
  <c r="AC29" i="1"/>
  <c r="AD29" i="1"/>
  <c r="I30" i="1"/>
  <c r="J30" i="1"/>
  <c r="K30" i="1"/>
  <c r="L30" i="1"/>
  <c r="M30" i="1"/>
  <c r="N30" i="1"/>
  <c r="O30" i="1"/>
  <c r="P30" i="1"/>
  <c r="Q30" i="1"/>
  <c r="R30" i="1"/>
  <c r="S30" i="1"/>
  <c r="T30" i="1"/>
  <c r="U30" i="1"/>
  <c r="V30" i="1"/>
  <c r="W30" i="1"/>
  <c r="X30" i="1"/>
  <c r="Y30" i="1"/>
  <c r="Z30" i="1"/>
  <c r="AA30" i="1"/>
  <c r="AB30" i="1"/>
  <c r="AC30" i="1"/>
  <c r="AD30" i="1"/>
  <c r="I31" i="1"/>
  <c r="J31" i="1"/>
  <c r="K31" i="1"/>
  <c r="L31" i="1"/>
  <c r="M31" i="1"/>
  <c r="N31" i="1"/>
  <c r="O31" i="1"/>
  <c r="P31" i="1"/>
  <c r="Q31" i="1"/>
  <c r="R31" i="1"/>
  <c r="S31" i="1"/>
  <c r="T31" i="1"/>
  <c r="U31" i="1"/>
  <c r="V31" i="1"/>
  <c r="W31" i="1"/>
  <c r="X31" i="1"/>
  <c r="Y31" i="1"/>
  <c r="Z31" i="1"/>
  <c r="AA31" i="1"/>
  <c r="AB31" i="1"/>
  <c r="AC31" i="1"/>
  <c r="AD31" i="1"/>
  <c r="I32" i="1"/>
  <c r="J32" i="1"/>
  <c r="K32" i="1"/>
  <c r="L32" i="1"/>
  <c r="M32" i="1"/>
  <c r="N32" i="1"/>
  <c r="O32" i="1"/>
  <c r="P32" i="1"/>
  <c r="Q32" i="1"/>
  <c r="R32" i="1"/>
  <c r="S32" i="1"/>
  <c r="T32" i="1"/>
  <c r="U32" i="1"/>
  <c r="V32" i="1"/>
  <c r="W32" i="1"/>
  <c r="X32" i="1"/>
  <c r="Y32" i="1"/>
  <c r="Z32" i="1"/>
  <c r="AA32" i="1"/>
  <c r="AB32" i="1"/>
  <c r="AC32" i="1"/>
  <c r="AD32" i="1"/>
  <c r="I33" i="1"/>
  <c r="J33" i="1"/>
  <c r="K33" i="1"/>
  <c r="L33" i="1"/>
  <c r="M33" i="1"/>
  <c r="N33" i="1"/>
  <c r="O33" i="1"/>
  <c r="P33" i="1"/>
  <c r="Q33" i="1"/>
  <c r="R33" i="1"/>
  <c r="S33" i="1"/>
  <c r="T33" i="1"/>
  <c r="U33" i="1"/>
  <c r="V33" i="1"/>
  <c r="W33" i="1"/>
  <c r="X33" i="1"/>
  <c r="Y33" i="1"/>
  <c r="Z33" i="1"/>
  <c r="AA33" i="1"/>
  <c r="AB33" i="1"/>
  <c r="AC33" i="1"/>
  <c r="AD33" i="1"/>
  <c r="I34" i="1"/>
  <c r="J34" i="1"/>
  <c r="K34" i="1"/>
  <c r="L34" i="1"/>
  <c r="M34" i="1"/>
  <c r="N34" i="1"/>
  <c r="O34" i="1"/>
  <c r="P34" i="1"/>
  <c r="Q34" i="1"/>
  <c r="R34" i="1"/>
  <c r="S34" i="1"/>
  <c r="T34" i="1"/>
  <c r="U34" i="1"/>
  <c r="V34" i="1"/>
  <c r="W34" i="1"/>
  <c r="X34" i="1"/>
  <c r="Y34" i="1"/>
  <c r="Z34" i="1"/>
  <c r="AA34" i="1"/>
  <c r="AB34" i="1"/>
  <c r="AC34" i="1"/>
  <c r="AD34" i="1"/>
  <c r="I35" i="1"/>
  <c r="J35" i="1"/>
  <c r="K35" i="1"/>
  <c r="L35" i="1"/>
  <c r="M35" i="1"/>
  <c r="N35" i="1"/>
  <c r="O35" i="1"/>
  <c r="P35" i="1"/>
  <c r="Q35" i="1"/>
  <c r="R35" i="1"/>
  <c r="S35" i="1"/>
  <c r="T35" i="1"/>
  <c r="U35" i="1"/>
  <c r="V35" i="1"/>
  <c r="W35" i="1"/>
  <c r="X35" i="1"/>
  <c r="Y35" i="1"/>
  <c r="Z35" i="1"/>
  <c r="AA35" i="1"/>
  <c r="AB35" i="1"/>
  <c r="AC35" i="1"/>
  <c r="AD35" i="1"/>
  <c r="I36" i="1"/>
  <c r="J36" i="1"/>
  <c r="K36" i="1"/>
  <c r="L36" i="1"/>
  <c r="M36" i="1"/>
  <c r="N36" i="1"/>
  <c r="O36" i="1"/>
  <c r="P36" i="1"/>
  <c r="Q36" i="1"/>
  <c r="R36" i="1"/>
  <c r="S36" i="1"/>
  <c r="T36" i="1"/>
  <c r="U36" i="1"/>
  <c r="V36" i="1"/>
  <c r="W36" i="1"/>
  <c r="X36" i="1"/>
  <c r="Y36" i="1"/>
  <c r="Z36" i="1"/>
  <c r="AA36" i="1"/>
  <c r="AB36" i="1"/>
  <c r="AC36" i="1"/>
  <c r="AD36" i="1"/>
  <c r="I37" i="1"/>
  <c r="J37" i="1"/>
  <c r="K37" i="1"/>
  <c r="L37" i="1"/>
  <c r="M37" i="1"/>
  <c r="N37" i="1"/>
  <c r="O37" i="1"/>
  <c r="P37" i="1"/>
  <c r="Q37" i="1"/>
  <c r="R37" i="1"/>
  <c r="S37" i="1"/>
  <c r="T37" i="1"/>
  <c r="U37" i="1"/>
  <c r="V37" i="1"/>
  <c r="W37" i="1"/>
  <c r="X37" i="1"/>
  <c r="Y37" i="1"/>
  <c r="Z37" i="1"/>
  <c r="AA37" i="1"/>
  <c r="AB37" i="1"/>
  <c r="AC37" i="1"/>
  <c r="AD37" i="1"/>
  <c r="I38" i="1"/>
  <c r="J38" i="1"/>
  <c r="K38" i="1"/>
  <c r="L38" i="1"/>
  <c r="M38" i="1"/>
  <c r="N38" i="1"/>
  <c r="O38" i="1"/>
  <c r="P38" i="1"/>
  <c r="Q38" i="1"/>
  <c r="R38" i="1"/>
  <c r="S38" i="1"/>
  <c r="T38" i="1"/>
  <c r="U38" i="1"/>
  <c r="V38" i="1"/>
  <c r="W38" i="1"/>
  <c r="X38" i="1"/>
  <c r="Y38" i="1"/>
  <c r="Z38" i="1"/>
  <c r="AA38" i="1"/>
  <c r="AB38" i="1"/>
  <c r="AC38" i="1"/>
  <c r="AD38" i="1"/>
  <c r="I39" i="1"/>
  <c r="J39" i="1"/>
  <c r="K39" i="1"/>
  <c r="L39" i="1"/>
  <c r="M39" i="1"/>
  <c r="N39" i="1"/>
  <c r="O39" i="1"/>
  <c r="P39" i="1"/>
  <c r="Q39" i="1"/>
  <c r="R39" i="1"/>
  <c r="S39" i="1"/>
  <c r="T39" i="1"/>
  <c r="U39" i="1"/>
  <c r="V39" i="1"/>
  <c r="W39" i="1"/>
  <c r="X39" i="1"/>
  <c r="Y39" i="1"/>
  <c r="Z39" i="1"/>
  <c r="AA39" i="1"/>
  <c r="AB39" i="1"/>
  <c r="AC39" i="1"/>
  <c r="AD39" i="1"/>
  <c r="I40" i="1"/>
  <c r="J40" i="1"/>
  <c r="K40" i="1"/>
  <c r="L40" i="1"/>
  <c r="M40" i="1"/>
  <c r="N40" i="1"/>
  <c r="O40" i="1"/>
  <c r="P40" i="1"/>
  <c r="Q40" i="1"/>
  <c r="R40" i="1"/>
  <c r="S40" i="1"/>
  <c r="T40" i="1"/>
  <c r="U40" i="1"/>
  <c r="V40" i="1"/>
  <c r="W40" i="1"/>
  <c r="X40" i="1"/>
  <c r="Y40" i="1"/>
  <c r="Z40" i="1"/>
  <c r="AA40" i="1"/>
  <c r="AB40" i="1"/>
  <c r="AC40" i="1"/>
  <c r="AD40" i="1"/>
  <c r="I41" i="1"/>
  <c r="J41" i="1"/>
  <c r="K41" i="1"/>
  <c r="L41" i="1"/>
  <c r="M41" i="1"/>
  <c r="N41" i="1"/>
  <c r="O41" i="1"/>
  <c r="P41" i="1"/>
  <c r="Q41" i="1"/>
  <c r="R41" i="1"/>
  <c r="S41" i="1"/>
  <c r="T41" i="1"/>
  <c r="U41" i="1"/>
  <c r="V41" i="1"/>
  <c r="W41" i="1"/>
  <c r="X41" i="1"/>
  <c r="Y41" i="1"/>
  <c r="Z41" i="1"/>
  <c r="AA41" i="1"/>
  <c r="AB41" i="1"/>
  <c r="AC41" i="1"/>
  <c r="AD41" i="1"/>
  <c r="I42" i="1"/>
  <c r="J42" i="1"/>
  <c r="K42" i="1"/>
  <c r="L42" i="1"/>
  <c r="M42" i="1"/>
  <c r="N42" i="1"/>
  <c r="O42" i="1"/>
  <c r="P42" i="1"/>
  <c r="Q42" i="1"/>
  <c r="R42" i="1"/>
  <c r="S42" i="1"/>
  <c r="T42" i="1"/>
  <c r="U42" i="1"/>
  <c r="V42" i="1"/>
  <c r="W42" i="1"/>
  <c r="X42" i="1"/>
  <c r="Y42" i="1"/>
  <c r="Z42" i="1"/>
  <c r="AA42" i="1"/>
  <c r="AB42" i="1"/>
  <c r="AC42" i="1"/>
  <c r="AD42" i="1"/>
  <c r="I43" i="1"/>
  <c r="J43" i="1"/>
  <c r="K43" i="1"/>
  <c r="L43" i="1"/>
  <c r="M43" i="1"/>
  <c r="N43" i="1"/>
  <c r="O43" i="1"/>
  <c r="P43" i="1"/>
  <c r="Q43" i="1"/>
  <c r="R43" i="1"/>
  <c r="S43" i="1"/>
  <c r="T43" i="1"/>
  <c r="U43" i="1"/>
  <c r="V43" i="1"/>
  <c r="W43" i="1"/>
  <c r="X43" i="1"/>
  <c r="Y43" i="1"/>
  <c r="Z43" i="1"/>
  <c r="AA43" i="1"/>
  <c r="AB43" i="1"/>
  <c r="AC43" i="1"/>
  <c r="AD43" i="1"/>
  <c r="I44" i="1"/>
  <c r="J44" i="1"/>
  <c r="K44" i="1"/>
  <c r="L44" i="1"/>
  <c r="M44" i="1"/>
  <c r="N44" i="1"/>
  <c r="O44" i="1"/>
  <c r="P44" i="1"/>
  <c r="Q44" i="1"/>
  <c r="R44" i="1"/>
  <c r="S44" i="1"/>
  <c r="T44" i="1"/>
  <c r="U44" i="1"/>
  <c r="V44" i="1"/>
  <c r="W44" i="1"/>
  <c r="X44" i="1"/>
  <c r="Y44" i="1"/>
  <c r="Z44" i="1"/>
  <c r="AA44" i="1"/>
  <c r="AB44" i="1"/>
  <c r="AC44" i="1"/>
  <c r="AD44" i="1"/>
  <c r="I45" i="1"/>
  <c r="J45" i="1"/>
  <c r="K45" i="1"/>
  <c r="L45" i="1"/>
  <c r="M45" i="1"/>
  <c r="N45" i="1"/>
  <c r="O45" i="1"/>
  <c r="P45" i="1"/>
  <c r="Q45" i="1"/>
  <c r="R45" i="1"/>
  <c r="S45" i="1"/>
  <c r="T45" i="1"/>
  <c r="U45" i="1"/>
  <c r="V45" i="1"/>
  <c r="W45" i="1"/>
  <c r="X45" i="1"/>
  <c r="Y45" i="1"/>
  <c r="Z45" i="1"/>
  <c r="AA45" i="1"/>
  <c r="AB45" i="1"/>
  <c r="AC45" i="1"/>
  <c r="AD45" i="1"/>
  <c r="I46" i="1"/>
  <c r="J46" i="1"/>
  <c r="K46" i="1"/>
  <c r="L46" i="1"/>
  <c r="M46" i="1"/>
  <c r="N46" i="1"/>
  <c r="O46" i="1"/>
  <c r="P46" i="1"/>
  <c r="Q46" i="1"/>
  <c r="R46" i="1"/>
  <c r="S46" i="1"/>
  <c r="T46" i="1"/>
  <c r="U46" i="1"/>
  <c r="V46" i="1"/>
  <c r="W46" i="1"/>
  <c r="X46" i="1"/>
  <c r="Y46" i="1"/>
  <c r="Z46" i="1"/>
  <c r="AA46" i="1"/>
  <c r="AB46" i="1"/>
  <c r="AC46" i="1"/>
  <c r="AD46" i="1"/>
  <c r="I47" i="1"/>
  <c r="J47" i="1"/>
  <c r="K47" i="1"/>
  <c r="L47" i="1"/>
  <c r="M47" i="1"/>
  <c r="N47" i="1"/>
  <c r="O47" i="1"/>
  <c r="P47" i="1"/>
  <c r="Q47" i="1"/>
  <c r="R47" i="1"/>
  <c r="S47" i="1"/>
  <c r="T47" i="1"/>
  <c r="U47" i="1"/>
  <c r="V47" i="1"/>
  <c r="W47" i="1"/>
  <c r="X47" i="1"/>
  <c r="Y47" i="1"/>
  <c r="Z47" i="1"/>
  <c r="AA47" i="1"/>
  <c r="AB47" i="1"/>
  <c r="AC47" i="1"/>
  <c r="AD47" i="1"/>
  <c r="I48" i="1"/>
  <c r="J48" i="1"/>
  <c r="K48" i="1"/>
  <c r="L48" i="1"/>
  <c r="M48" i="1"/>
  <c r="N48" i="1"/>
  <c r="O48" i="1"/>
  <c r="P48" i="1"/>
  <c r="Q48" i="1"/>
  <c r="R48" i="1"/>
  <c r="S48" i="1"/>
  <c r="T48" i="1"/>
  <c r="U48" i="1"/>
  <c r="V48" i="1"/>
  <c r="W48" i="1"/>
  <c r="X48" i="1"/>
  <c r="Y48" i="1"/>
  <c r="Z48" i="1"/>
  <c r="AA48" i="1"/>
  <c r="AB48" i="1"/>
  <c r="AC48" i="1"/>
  <c r="AD48" i="1"/>
  <c r="I49" i="1"/>
  <c r="J49" i="1"/>
  <c r="K49" i="1"/>
  <c r="L49" i="1"/>
  <c r="M49" i="1"/>
  <c r="N49" i="1"/>
  <c r="O49" i="1"/>
  <c r="P49" i="1"/>
  <c r="Q49" i="1"/>
  <c r="R49" i="1"/>
  <c r="S49" i="1"/>
  <c r="T49" i="1"/>
  <c r="U49" i="1"/>
  <c r="V49" i="1"/>
  <c r="W49" i="1"/>
  <c r="X49" i="1"/>
  <c r="Y49" i="1"/>
  <c r="Z49" i="1"/>
  <c r="AA49" i="1"/>
  <c r="AB49" i="1"/>
  <c r="AC49" i="1"/>
  <c r="AD49" i="1"/>
  <c r="I50" i="1"/>
  <c r="J50" i="1"/>
  <c r="K50" i="1"/>
  <c r="L50" i="1"/>
  <c r="M50" i="1"/>
  <c r="N50" i="1"/>
  <c r="O50" i="1"/>
  <c r="P50" i="1"/>
  <c r="Q50" i="1"/>
  <c r="R50" i="1"/>
  <c r="S50" i="1"/>
  <c r="T50" i="1"/>
  <c r="U50" i="1"/>
  <c r="V50" i="1"/>
  <c r="W50" i="1"/>
  <c r="X50" i="1"/>
  <c r="Y50" i="1"/>
  <c r="Z50" i="1"/>
  <c r="AA50" i="1"/>
  <c r="AB50" i="1"/>
  <c r="AC50" i="1"/>
  <c r="AD50" i="1"/>
  <c r="I51" i="1"/>
  <c r="J51" i="1"/>
  <c r="K51" i="1"/>
  <c r="L51" i="1"/>
  <c r="M51" i="1"/>
  <c r="N51" i="1"/>
  <c r="O51" i="1"/>
  <c r="P51" i="1"/>
  <c r="Q51" i="1"/>
  <c r="R51" i="1"/>
  <c r="S51" i="1"/>
  <c r="T51" i="1"/>
  <c r="U51" i="1"/>
  <c r="V51" i="1"/>
  <c r="W51" i="1"/>
  <c r="X51" i="1"/>
  <c r="Y51" i="1"/>
  <c r="Z51" i="1"/>
  <c r="AA51" i="1"/>
  <c r="AB51" i="1"/>
  <c r="AC51" i="1"/>
  <c r="AD51" i="1"/>
  <c r="I52" i="1"/>
  <c r="J52" i="1"/>
  <c r="K52" i="1"/>
  <c r="L52" i="1"/>
  <c r="M52" i="1"/>
  <c r="N52" i="1"/>
  <c r="O52" i="1"/>
  <c r="P52" i="1"/>
  <c r="Q52" i="1"/>
  <c r="R52" i="1"/>
  <c r="S52" i="1"/>
  <c r="T52" i="1"/>
  <c r="U52" i="1"/>
  <c r="V52" i="1"/>
  <c r="W52" i="1"/>
  <c r="X52" i="1"/>
  <c r="Y52" i="1"/>
  <c r="Z52" i="1"/>
  <c r="AA52" i="1"/>
  <c r="AB52" i="1"/>
  <c r="AC52" i="1"/>
  <c r="AD52" i="1"/>
  <c r="I53" i="1"/>
  <c r="J53" i="1"/>
  <c r="K53" i="1"/>
  <c r="L53" i="1"/>
  <c r="M53" i="1"/>
  <c r="N53" i="1"/>
  <c r="O53" i="1"/>
  <c r="P53" i="1"/>
  <c r="Q53" i="1"/>
  <c r="R53" i="1"/>
  <c r="S53" i="1"/>
  <c r="T53" i="1"/>
  <c r="U53" i="1"/>
  <c r="V53" i="1"/>
  <c r="W53" i="1"/>
  <c r="X53" i="1"/>
  <c r="Y53" i="1"/>
  <c r="Z53" i="1"/>
  <c r="AA53" i="1"/>
  <c r="AB53" i="1"/>
  <c r="AC53" i="1"/>
  <c r="AD53" i="1"/>
  <c r="I54" i="1"/>
  <c r="J54" i="1"/>
  <c r="K54" i="1"/>
  <c r="L54" i="1"/>
  <c r="M54" i="1"/>
  <c r="N54" i="1"/>
  <c r="O54" i="1"/>
  <c r="P54" i="1"/>
  <c r="Q54" i="1"/>
  <c r="R54" i="1"/>
  <c r="S54" i="1"/>
  <c r="T54" i="1"/>
  <c r="U54" i="1"/>
  <c r="V54" i="1"/>
  <c r="W54" i="1"/>
  <c r="X54" i="1"/>
  <c r="Y54" i="1"/>
  <c r="Z54" i="1"/>
  <c r="AA54" i="1"/>
  <c r="AB54" i="1"/>
  <c r="AC54" i="1"/>
  <c r="AD54" i="1"/>
  <c r="I55" i="1"/>
  <c r="J55" i="1"/>
  <c r="K55" i="1"/>
  <c r="L55" i="1"/>
  <c r="M55" i="1"/>
  <c r="N55" i="1"/>
  <c r="O55" i="1"/>
  <c r="P55" i="1"/>
  <c r="Q55" i="1"/>
  <c r="R55" i="1"/>
  <c r="S55" i="1"/>
  <c r="T55" i="1"/>
  <c r="U55" i="1"/>
  <c r="V55" i="1"/>
  <c r="W55" i="1"/>
  <c r="X55" i="1"/>
  <c r="Y55" i="1"/>
  <c r="Z55" i="1"/>
  <c r="AA55" i="1"/>
  <c r="AB55" i="1"/>
  <c r="AC55" i="1"/>
  <c r="AD55" i="1"/>
  <c r="I56" i="1"/>
  <c r="J56" i="1"/>
  <c r="K56" i="1"/>
  <c r="L56" i="1"/>
  <c r="M56" i="1"/>
  <c r="N56" i="1"/>
  <c r="O56" i="1"/>
  <c r="P56" i="1"/>
  <c r="Q56" i="1"/>
  <c r="R56" i="1"/>
  <c r="S56" i="1"/>
  <c r="T56" i="1"/>
  <c r="U56" i="1"/>
  <c r="V56" i="1"/>
  <c r="W56" i="1"/>
  <c r="X56" i="1"/>
  <c r="Y56" i="1"/>
  <c r="Z56" i="1"/>
  <c r="AA56" i="1"/>
  <c r="AB56" i="1"/>
  <c r="AC56" i="1"/>
  <c r="AD56" i="1"/>
  <c r="I57" i="1"/>
  <c r="J57" i="1"/>
  <c r="K57" i="1"/>
  <c r="L57" i="1"/>
  <c r="M57" i="1"/>
  <c r="N57" i="1"/>
  <c r="O57" i="1"/>
  <c r="P57" i="1"/>
  <c r="Q57" i="1"/>
  <c r="R57" i="1"/>
  <c r="S57" i="1"/>
  <c r="T57" i="1"/>
  <c r="U57" i="1"/>
  <c r="V57" i="1"/>
  <c r="W57" i="1"/>
  <c r="X57" i="1"/>
  <c r="Y57" i="1"/>
  <c r="Z57" i="1"/>
  <c r="AA57" i="1"/>
  <c r="AB57" i="1"/>
  <c r="AC57" i="1"/>
  <c r="AD57" i="1"/>
  <c r="I58" i="1"/>
  <c r="J58" i="1"/>
  <c r="K58" i="1"/>
  <c r="L58" i="1"/>
  <c r="M58" i="1"/>
  <c r="N58" i="1"/>
  <c r="O58" i="1"/>
  <c r="P58" i="1"/>
  <c r="Q58" i="1"/>
  <c r="R58" i="1"/>
  <c r="S58" i="1"/>
  <c r="T58" i="1"/>
  <c r="U58" i="1"/>
  <c r="V58" i="1"/>
  <c r="W58" i="1"/>
  <c r="X58" i="1"/>
  <c r="Y58" i="1"/>
  <c r="Z58" i="1"/>
  <c r="AA58" i="1"/>
  <c r="AB58" i="1"/>
  <c r="AC58" i="1"/>
  <c r="AD58" i="1"/>
  <c r="I59" i="1"/>
  <c r="J59" i="1"/>
  <c r="K59" i="1"/>
  <c r="L59" i="1"/>
  <c r="M59" i="1"/>
  <c r="N59" i="1"/>
  <c r="O59" i="1"/>
  <c r="P59" i="1"/>
  <c r="Q59" i="1"/>
  <c r="R59" i="1"/>
  <c r="S59" i="1"/>
  <c r="T59" i="1"/>
  <c r="U59" i="1"/>
  <c r="V59" i="1"/>
  <c r="W59" i="1"/>
  <c r="X59" i="1"/>
  <c r="Y59" i="1"/>
  <c r="Z59" i="1"/>
  <c r="AA59" i="1"/>
  <c r="AB59" i="1"/>
  <c r="AC59" i="1"/>
  <c r="AD59" i="1"/>
  <c r="I60" i="1"/>
  <c r="J60" i="1"/>
  <c r="K60" i="1"/>
  <c r="L60" i="1"/>
  <c r="M60" i="1"/>
  <c r="N60" i="1"/>
  <c r="O60" i="1"/>
  <c r="P60" i="1"/>
  <c r="Q60" i="1"/>
  <c r="R60" i="1"/>
  <c r="S60" i="1"/>
  <c r="T60" i="1"/>
  <c r="U60" i="1"/>
  <c r="V60" i="1"/>
  <c r="W60" i="1"/>
  <c r="X60" i="1"/>
  <c r="Y60" i="1"/>
  <c r="Z60" i="1"/>
  <c r="AA60" i="1"/>
  <c r="AB60" i="1"/>
  <c r="AC60" i="1"/>
  <c r="AD60" i="1"/>
  <c r="I61" i="1"/>
  <c r="J61" i="1"/>
  <c r="K61" i="1"/>
  <c r="L61" i="1"/>
  <c r="M61" i="1"/>
  <c r="N61" i="1"/>
  <c r="O61" i="1"/>
  <c r="P61" i="1"/>
  <c r="Q61" i="1"/>
  <c r="R61" i="1"/>
  <c r="S61" i="1"/>
  <c r="T61" i="1"/>
  <c r="U61" i="1"/>
  <c r="V61" i="1"/>
  <c r="W61" i="1"/>
  <c r="X61" i="1"/>
  <c r="Y61" i="1"/>
  <c r="Z61" i="1"/>
  <c r="AA61" i="1"/>
  <c r="AB61" i="1"/>
  <c r="AC61" i="1"/>
  <c r="AD61" i="1"/>
  <c r="I62" i="1"/>
  <c r="J62" i="1"/>
  <c r="K62" i="1"/>
  <c r="L62" i="1"/>
  <c r="M62" i="1"/>
  <c r="N62" i="1"/>
  <c r="O62" i="1"/>
  <c r="P62" i="1"/>
  <c r="Q62" i="1"/>
  <c r="R62" i="1"/>
  <c r="S62" i="1"/>
  <c r="T62" i="1"/>
  <c r="U62" i="1"/>
  <c r="V62" i="1"/>
  <c r="W62" i="1"/>
  <c r="X62" i="1"/>
  <c r="Y62" i="1"/>
  <c r="Z62" i="1"/>
  <c r="AA62" i="1"/>
  <c r="AB62" i="1"/>
  <c r="AC62" i="1"/>
  <c r="AD62" i="1"/>
  <c r="I63" i="1"/>
  <c r="J63" i="1"/>
  <c r="K63" i="1"/>
  <c r="L63" i="1"/>
  <c r="M63" i="1"/>
  <c r="N63" i="1"/>
  <c r="O63" i="1"/>
  <c r="P63" i="1"/>
  <c r="Q63" i="1"/>
  <c r="R63" i="1"/>
  <c r="S63" i="1"/>
  <c r="T63" i="1"/>
  <c r="U63" i="1"/>
  <c r="V63" i="1"/>
  <c r="W63" i="1"/>
  <c r="X63" i="1"/>
  <c r="Y63" i="1"/>
  <c r="Z63" i="1"/>
  <c r="AA63" i="1"/>
  <c r="AB63" i="1"/>
  <c r="AC63" i="1"/>
  <c r="AD63" i="1"/>
  <c r="I64" i="1"/>
  <c r="J64" i="1"/>
  <c r="K64" i="1"/>
  <c r="L64" i="1"/>
  <c r="M64" i="1"/>
  <c r="N64" i="1"/>
  <c r="O64" i="1"/>
  <c r="P64" i="1"/>
  <c r="Q64" i="1"/>
  <c r="R64" i="1"/>
  <c r="S64" i="1"/>
  <c r="T64" i="1"/>
  <c r="U64" i="1"/>
  <c r="V64" i="1"/>
  <c r="W64" i="1"/>
  <c r="X64" i="1"/>
  <c r="Y64" i="1"/>
  <c r="Z64" i="1"/>
  <c r="AA64" i="1"/>
  <c r="AB64" i="1"/>
  <c r="AC64" i="1"/>
  <c r="AD64" i="1"/>
  <c r="I65" i="1"/>
  <c r="J65" i="1"/>
  <c r="K65" i="1"/>
  <c r="L65" i="1"/>
  <c r="M65" i="1"/>
  <c r="N65" i="1"/>
  <c r="O65" i="1"/>
  <c r="P65" i="1"/>
  <c r="Q65" i="1"/>
  <c r="R65" i="1"/>
  <c r="S65" i="1"/>
  <c r="T65" i="1"/>
  <c r="U65" i="1"/>
  <c r="V65" i="1"/>
  <c r="W65" i="1"/>
  <c r="X65" i="1"/>
  <c r="Y65" i="1"/>
  <c r="Z65" i="1"/>
  <c r="AA65" i="1"/>
  <c r="AB65" i="1"/>
  <c r="AC65" i="1"/>
  <c r="AD65" i="1"/>
  <c r="I66" i="1"/>
  <c r="J66" i="1"/>
  <c r="K66" i="1"/>
  <c r="L66" i="1"/>
  <c r="M66" i="1"/>
  <c r="N66" i="1"/>
  <c r="O66" i="1"/>
  <c r="P66" i="1"/>
  <c r="Q66" i="1"/>
  <c r="R66" i="1"/>
  <c r="S66" i="1"/>
  <c r="T66" i="1"/>
  <c r="U66" i="1"/>
  <c r="V66" i="1"/>
  <c r="W66" i="1"/>
  <c r="X66" i="1"/>
  <c r="Y66" i="1"/>
  <c r="Z66" i="1"/>
  <c r="AA66" i="1"/>
  <c r="AB66" i="1"/>
  <c r="AC66" i="1"/>
  <c r="AD66" i="1"/>
  <c r="I67" i="1"/>
  <c r="J67" i="1"/>
  <c r="K67" i="1"/>
  <c r="L67" i="1"/>
  <c r="M67" i="1"/>
  <c r="N67" i="1"/>
  <c r="O67" i="1"/>
  <c r="P67" i="1"/>
  <c r="Q67" i="1"/>
  <c r="R67" i="1"/>
  <c r="S67" i="1"/>
  <c r="T67" i="1"/>
  <c r="U67" i="1"/>
  <c r="V67" i="1"/>
  <c r="W67" i="1"/>
  <c r="X67" i="1"/>
  <c r="Y67" i="1"/>
  <c r="Z67" i="1"/>
  <c r="AA67" i="1"/>
  <c r="AB67" i="1"/>
  <c r="AC67" i="1"/>
  <c r="AD67" i="1"/>
  <c r="I68" i="1"/>
  <c r="J68" i="1"/>
  <c r="K68" i="1"/>
  <c r="L68" i="1"/>
  <c r="M68" i="1"/>
  <c r="N68" i="1"/>
  <c r="O68" i="1"/>
  <c r="P68" i="1"/>
  <c r="Q68" i="1"/>
  <c r="R68" i="1"/>
  <c r="S68" i="1"/>
  <c r="T68" i="1"/>
  <c r="U68" i="1"/>
  <c r="V68" i="1"/>
  <c r="W68" i="1"/>
  <c r="X68" i="1"/>
  <c r="Y68" i="1"/>
  <c r="Z68" i="1"/>
  <c r="AA68" i="1"/>
  <c r="AB68" i="1"/>
  <c r="AC68" i="1"/>
  <c r="AD68" i="1"/>
  <c r="I69" i="1"/>
  <c r="J69" i="1"/>
  <c r="K69" i="1"/>
  <c r="L69" i="1"/>
  <c r="M69" i="1"/>
  <c r="N69" i="1"/>
  <c r="O69" i="1"/>
  <c r="P69" i="1"/>
  <c r="Q69" i="1"/>
  <c r="R69" i="1"/>
  <c r="S69" i="1"/>
  <c r="T69" i="1"/>
  <c r="U69" i="1"/>
  <c r="V69" i="1"/>
  <c r="W69" i="1"/>
  <c r="X69" i="1"/>
  <c r="Y69" i="1"/>
  <c r="Z69" i="1"/>
  <c r="AA69" i="1"/>
  <c r="AB69" i="1"/>
  <c r="AC69" i="1"/>
  <c r="AD69" i="1"/>
  <c r="I70" i="1"/>
  <c r="J70" i="1"/>
  <c r="K70" i="1"/>
  <c r="L70" i="1"/>
  <c r="M70" i="1"/>
  <c r="N70" i="1"/>
  <c r="O70" i="1"/>
  <c r="P70" i="1"/>
  <c r="Q70" i="1"/>
  <c r="R70" i="1"/>
  <c r="S70" i="1"/>
  <c r="T70" i="1"/>
  <c r="U70" i="1"/>
  <c r="V70" i="1"/>
  <c r="W70" i="1"/>
  <c r="X70" i="1"/>
  <c r="Y70" i="1"/>
  <c r="Z70" i="1"/>
  <c r="AA70" i="1"/>
  <c r="AB70" i="1"/>
  <c r="AC70" i="1"/>
  <c r="AD70" i="1"/>
  <c r="I71" i="1"/>
  <c r="J71" i="1"/>
  <c r="K71" i="1"/>
  <c r="L71" i="1"/>
  <c r="M71" i="1"/>
  <c r="N71" i="1"/>
  <c r="O71" i="1"/>
  <c r="P71" i="1"/>
  <c r="Q71" i="1"/>
  <c r="R71" i="1"/>
  <c r="S71" i="1"/>
  <c r="T71" i="1"/>
  <c r="U71" i="1"/>
  <c r="V71" i="1"/>
  <c r="W71" i="1"/>
  <c r="X71" i="1"/>
  <c r="Y71" i="1"/>
  <c r="Z71" i="1"/>
  <c r="AA71" i="1"/>
  <c r="AB71" i="1"/>
  <c r="AC71" i="1"/>
  <c r="AD71" i="1"/>
  <c r="I72" i="1"/>
  <c r="J72" i="1"/>
  <c r="K72" i="1"/>
  <c r="L72" i="1"/>
  <c r="M72" i="1"/>
  <c r="N72" i="1"/>
  <c r="O72" i="1"/>
  <c r="P72" i="1"/>
  <c r="Q72" i="1"/>
  <c r="R72" i="1"/>
  <c r="S72" i="1"/>
  <c r="T72" i="1"/>
  <c r="U72" i="1"/>
  <c r="V72" i="1"/>
  <c r="W72" i="1"/>
  <c r="X72" i="1"/>
  <c r="Y72" i="1"/>
  <c r="Z72" i="1"/>
  <c r="AA72" i="1"/>
  <c r="AB72" i="1"/>
  <c r="AC72" i="1"/>
  <c r="AD72" i="1"/>
  <c r="I73" i="1"/>
  <c r="J73" i="1"/>
  <c r="K73" i="1"/>
  <c r="L73" i="1"/>
  <c r="M73" i="1"/>
  <c r="N73" i="1"/>
  <c r="O73" i="1"/>
  <c r="P73" i="1"/>
  <c r="Q73" i="1"/>
  <c r="R73" i="1"/>
  <c r="S73" i="1"/>
  <c r="T73" i="1"/>
  <c r="U73" i="1"/>
  <c r="V73" i="1"/>
  <c r="W73" i="1"/>
  <c r="X73" i="1"/>
  <c r="Y73" i="1"/>
  <c r="Z73" i="1"/>
  <c r="AA73" i="1"/>
  <c r="AB73" i="1"/>
  <c r="AC73" i="1"/>
  <c r="AD73" i="1"/>
  <c r="I74" i="1"/>
  <c r="J74" i="1"/>
  <c r="K74" i="1"/>
  <c r="L74" i="1"/>
  <c r="M74" i="1"/>
  <c r="N74" i="1"/>
  <c r="O74" i="1"/>
  <c r="P74" i="1"/>
  <c r="Q74" i="1"/>
  <c r="R74" i="1"/>
  <c r="S74" i="1"/>
  <c r="T74" i="1"/>
  <c r="U74" i="1"/>
  <c r="V74" i="1"/>
  <c r="W74" i="1"/>
  <c r="X74" i="1"/>
  <c r="Y74" i="1"/>
  <c r="Z74" i="1"/>
  <c r="AA74" i="1"/>
  <c r="AB74" i="1"/>
  <c r="AC74" i="1"/>
  <c r="AD74" i="1"/>
  <c r="I75" i="1"/>
  <c r="J75" i="1"/>
  <c r="K75" i="1"/>
  <c r="L75" i="1"/>
  <c r="M75" i="1"/>
  <c r="N75" i="1"/>
  <c r="O75" i="1"/>
  <c r="P75" i="1"/>
  <c r="Q75" i="1"/>
  <c r="R75" i="1"/>
  <c r="S75" i="1"/>
  <c r="T75" i="1"/>
  <c r="U75" i="1"/>
  <c r="V75" i="1"/>
  <c r="W75" i="1"/>
  <c r="X75" i="1"/>
  <c r="Y75" i="1"/>
  <c r="Z75" i="1"/>
  <c r="AA75" i="1"/>
  <c r="AB75" i="1"/>
  <c r="AC75" i="1"/>
  <c r="AD75" i="1"/>
  <c r="I76" i="1"/>
  <c r="J76" i="1"/>
  <c r="K76" i="1"/>
  <c r="L76" i="1"/>
  <c r="M76" i="1"/>
  <c r="N76" i="1"/>
  <c r="O76" i="1"/>
  <c r="P76" i="1"/>
  <c r="Q76" i="1"/>
  <c r="R76" i="1"/>
  <c r="S76" i="1"/>
  <c r="T76" i="1"/>
  <c r="U76" i="1"/>
  <c r="V76" i="1"/>
  <c r="W76" i="1"/>
  <c r="X76" i="1"/>
  <c r="Y76" i="1"/>
  <c r="Z76" i="1"/>
  <c r="AA76" i="1"/>
  <c r="AB76" i="1"/>
  <c r="AC76" i="1"/>
  <c r="AD76" i="1"/>
  <c r="I77" i="1"/>
  <c r="J77" i="1"/>
  <c r="K77" i="1"/>
  <c r="L77" i="1"/>
  <c r="M77" i="1"/>
  <c r="N77" i="1"/>
  <c r="O77" i="1"/>
  <c r="P77" i="1"/>
  <c r="Q77" i="1"/>
  <c r="R77" i="1"/>
  <c r="S77" i="1"/>
  <c r="T77" i="1"/>
  <c r="U77" i="1"/>
  <c r="V77" i="1"/>
  <c r="W77" i="1"/>
  <c r="X77" i="1"/>
  <c r="Y77" i="1"/>
  <c r="Z77" i="1"/>
  <c r="AA77" i="1"/>
  <c r="AB77" i="1"/>
  <c r="AC77" i="1"/>
  <c r="AD77" i="1"/>
  <c r="I78" i="1"/>
  <c r="J78" i="1"/>
  <c r="K78" i="1"/>
  <c r="L78" i="1"/>
  <c r="M78" i="1"/>
  <c r="N78" i="1"/>
  <c r="O78" i="1"/>
  <c r="P78" i="1"/>
  <c r="Q78" i="1"/>
  <c r="R78" i="1"/>
  <c r="S78" i="1"/>
  <c r="T78" i="1"/>
  <c r="U78" i="1"/>
  <c r="V78" i="1"/>
  <c r="W78" i="1"/>
  <c r="X78" i="1"/>
  <c r="Y78" i="1"/>
  <c r="Z78" i="1"/>
  <c r="AA78" i="1"/>
  <c r="AB78" i="1"/>
  <c r="AC78" i="1"/>
  <c r="AD78" i="1"/>
  <c r="I79" i="1"/>
  <c r="J79" i="1"/>
  <c r="K79" i="1"/>
  <c r="L79" i="1"/>
  <c r="M79" i="1"/>
  <c r="N79" i="1"/>
  <c r="O79" i="1"/>
  <c r="P79" i="1"/>
  <c r="Q79" i="1"/>
  <c r="R79" i="1"/>
  <c r="S79" i="1"/>
  <c r="T79" i="1"/>
  <c r="U79" i="1"/>
  <c r="V79" i="1"/>
  <c r="W79" i="1"/>
  <c r="X79" i="1"/>
  <c r="Y79" i="1"/>
  <c r="Z79" i="1"/>
  <c r="AA79" i="1"/>
  <c r="AB79" i="1"/>
  <c r="AC79" i="1"/>
  <c r="AD79" i="1"/>
  <c r="I80" i="1"/>
  <c r="J80" i="1"/>
  <c r="K80" i="1"/>
  <c r="L80" i="1"/>
  <c r="M80" i="1"/>
  <c r="N80" i="1"/>
  <c r="O80" i="1"/>
  <c r="P80" i="1"/>
  <c r="Q80" i="1"/>
  <c r="R80" i="1"/>
  <c r="S80" i="1"/>
  <c r="T80" i="1"/>
  <c r="U80" i="1"/>
  <c r="V80" i="1"/>
  <c r="W80" i="1"/>
  <c r="X80" i="1"/>
  <c r="Y80" i="1"/>
  <c r="Z80" i="1"/>
  <c r="AA80" i="1"/>
  <c r="AB80" i="1"/>
  <c r="AC80" i="1"/>
  <c r="AD80" i="1"/>
  <c r="I81" i="1"/>
  <c r="J81" i="1"/>
  <c r="K81" i="1"/>
  <c r="L81" i="1"/>
  <c r="M81" i="1"/>
  <c r="N81" i="1"/>
  <c r="O81" i="1"/>
  <c r="P81" i="1"/>
  <c r="Q81" i="1"/>
  <c r="R81" i="1"/>
  <c r="S81" i="1"/>
  <c r="T81" i="1"/>
  <c r="U81" i="1"/>
  <c r="V81" i="1"/>
  <c r="W81" i="1"/>
  <c r="X81" i="1"/>
  <c r="Y81" i="1"/>
  <c r="Z81" i="1"/>
  <c r="AA81" i="1"/>
  <c r="AB81" i="1"/>
  <c r="AC81" i="1"/>
  <c r="AD81" i="1"/>
  <c r="I82" i="1"/>
  <c r="J82" i="1"/>
  <c r="K82" i="1"/>
  <c r="L82" i="1"/>
  <c r="M82" i="1"/>
  <c r="N82" i="1"/>
  <c r="O82" i="1"/>
  <c r="P82" i="1"/>
  <c r="Q82" i="1"/>
  <c r="R82" i="1"/>
  <c r="S82" i="1"/>
  <c r="T82" i="1"/>
  <c r="U82" i="1"/>
  <c r="V82" i="1"/>
  <c r="W82" i="1"/>
  <c r="X82" i="1"/>
  <c r="Y82" i="1"/>
  <c r="Z82" i="1"/>
  <c r="AA82" i="1"/>
  <c r="AB82" i="1"/>
  <c r="AC82" i="1"/>
  <c r="AD82" i="1"/>
  <c r="I83" i="1"/>
  <c r="J83" i="1"/>
  <c r="K83" i="1"/>
  <c r="L83" i="1"/>
  <c r="M83" i="1"/>
  <c r="N83" i="1"/>
  <c r="O83" i="1"/>
  <c r="P83" i="1"/>
  <c r="Q83" i="1"/>
  <c r="R83" i="1"/>
  <c r="S83" i="1"/>
  <c r="T83" i="1"/>
  <c r="U83" i="1"/>
  <c r="V83" i="1"/>
  <c r="W83" i="1"/>
  <c r="X83" i="1"/>
  <c r="Y83" i="1"/>
  <c r="Z83" i="1"/>
  <c r="AA83" i="1"/>
  <c r="AB83" i="1"/>
  <c r="AC83" i="1"/>
  <c r="AD83" i="1"/>
  <c r="I84" i="1"/>
  <c r="J84" i="1"/>
  <c r="K84" i="1"/>
  <c r="L84" i="1"/>
  <c r="M84" i="1"/>
  <c r="N84" i="1"/>
  <c r="O84" i="1"/>
  <c r="P84" i="1"/>
  <c r="Q84" i="1"/>
  <c r="R84" i="1"/>
  <c r="S84" i="1"/>
  <c r="T84" i="1"/>
  <c r="U84" i="1"/>
  <c r="V84" i="1"/>
  <c r="W84" i="1"/>
  <c r="X84" i="1"/>
  <c r="Y84" i="1"/>
  <c r="Z84" i="1"/>
  <c r="AA84" i="1"/>
  <c r="AB84" i="1"/>
  <c r="AC84" i="1"/>
  <c r="AD84" i="1"/>
  <c r="I85" i="1"/>
  <c r="J85" i="1"/>
  <c r="K85" i="1"/>
  <c r="L85" i="1"/>
  <c r="M85" i="1"/>
  <c r="N85" i="1"/>
  <c r="O85" i="1"/>
  <c r="P85" i="1"/>
  <c r="Q85" i="1"/>
  <c r="R85" i="1"/>
  <c r="S85" i="1"/>
  <c r="T85" i="1"/>
  <c r="U85" i="1"/>
  <c r="V85" i="1"/>
  <c r="W85" i="1"/>
  <c r="X85" i="1"/>
  <c r="Y85" i="1"/>
  <c r="Z85" i="1"/>
  <c r="AA85" i="1"/>
  <c r="AB85" i="1"/>
  <c r="AC85" i="1"/>
  <c r="AD85" i="1"/>
  <c r="I86" i="1"/>
  <c r="J86" i="1"/>
  <c r="K86" i="1"/>
  <c r="L86" i="1"/>
  <c r="M86" i="1"/>
  <c r="N86" i="1"/>
  <c r="O86" i="1"/>
  <c r="P86" i="1"/>
  <c r="Q86" i="1"/>
  <c r="R86" i="1"/>
  <c r="S86" i="1"/>
  <c r="T86" i="1"/>
  <c r="U86" i="1"/>
  <c r="V86" i="1"/>
  <c r="W86" i="1"/>
  <c r="X86" i="1"/>
  <c r="Y86" i="1"/>
  <c r="Z86" i="1"/>
  <c r="AA86" i="1"/>
  <c r="AB86" i="1"/>
  <c r="AC86" i="1"/>
  <c r="AD86" i="1"/>
  <c r="I87" i="1"/>
  <c r="J87" i="1"/>
  <c r="K87" i="1"/>
  <c r="L87" i="1"/>
  <c r="M87" i="1"/>
  <c r="N87" i="1"/>
  <c r="O87" i="1"/>
  <c r="P87" i="1"/>
  <c r="Q87" i="1"/>
  <c r="R87" i="1"/>
  <c r="S87" i="1"/>
  <c r="T87" i="1"/>
  <c r="U87" i="1"/>
  <c r="V87" i="1"/>
  <c r="W87" i="1"/>
  <c r="X87" i="1"/>
  <c r="Y87" i="1"/>
  <c r="Z87" i="1"/>
  <c r="AA87" i="1"/>
  <c r="AB87" i="1"/>
  <c r="AC87" i="1"/>
  <c r="AD87" i="1"/>
  <c r="I88" i="1"/>
  <c r="J88" i="1"/>
  <c r="K88" i="1"/>
  <c r="L88" i="1"/>
  <c r="M88" i="1"/>
  <c r="N88" i="1"/>
  <c r="O88" i="1"/>
  <c r="P88" i="1"/>
  <c r="Q88" i="1"/>
  <c r="R88" i="1"/>
  <c r="S88" i="1"/>
  <c r="T88" i="1"/>
  <c r="U88" i="1"/>
  <c r="V88" i="1"/>
  <c r="W88" i="1"/>
  <c r="X88" i="1"/>
  <c r="Y88" i="1"/>
  <c r="Z88" i="1"/>
  <c r="AA88" i="1"/>
  <c r="AB88" i="1"/>
  <c r="AC88" i="1"/>
  <c r="AD88" i="1"/>
  <c r="I89" i="1"/>
  <c r="J89" i="1"/>
  <c r="K89" i="1"/>
  <c r="L89" i="1"/>
  <c r="M89" i="1"/>
  <c r="N89" i="1"/>
  <c r="O89" i="1"/>
  <c r="P89" i="1"/>
  <c r="Q89" i="1"/>
  <c r="R89" i="1"/>
  <c r="S89" i="1"/>
  <c r="T89" i="1"/>
  <c r="U89" i="1"/>
  <c r="V89" i="1"/>
  <c r="W89" i="1"/>
  <c r="X89" i="1"/>
  <c r="Y89" i="1"/>
  <c r="Z89" i="1"/>
  <c r="AA89" i="1"/>
  <c r="AB89" i="1"/>
  <c r="AC89" i="1"/>
  <c r="AD89" i="1"/>
  <c r="I90" i="1"/>
  <c r="J90" i="1"/>
  <c r="K90" i="1"/>
  <c r="L90" i="1"/>
  <c r="M90" i="1"/>
  <c r="N90" i="1"/>
  <c r="O90" i="1"/>
  <c r="P90" i="1"/>
  <c r="Q90" i="1"/>
  <c r="R90" i="1"/>
  <c r="S90" i="1"/>
  <c r="T90" i="1"/>
  <c r="U90" i="1"/>
  <c r="V90" i="1"/>
  <c r="W90" i="1"/>
  <c r="X90" i="1"/>
  <c r="Y90" i="1"/>
  <c r="Z90" i="1"/>
  <c r="AA90" i="1"/>
  <c r="AB90" i="1"/>
  <c r="AC90" i="1"/>
  <c r="AD90" i="1"/>
  <c r="I91" i="1"/>
  <c r="J91" i="1"/>
  <c r="K91" i="1"/>
  <c r="L91" i="1"/>
  <c r="M91" i="1"/>
  <c r="N91" i="1"/>
  <c r="O91" i="1"/>
  <c r="P91" i="1"/>
  <c r="Q91" i="1"/>
  <c r="R91" i="1"/>
  <c r="S91" i="1"/>
  <c r="T91" i="1"/>
  <c r="U91" i="1"/>
  <c r="V91" i="1"/>
  <c r="W91" i="1"/>
  <c r="X91" i="1"/>
  <c r="Y91" i="1"/>
  <c r="Z91" i="1"/>
  <c r="AA91" i="1"/>
  <c r="AB91" i="1"/>
  <c r="AC91" i="1"/>
  <c r="AD91" i="1"/>
  <c r="I92" i="1"/>
  <c r="J92" i="1"/>
  <c r="K92" i="1"/>
  <c r="L92" i="1"/>
  <c r="M92" i="1"/>
  <c r="N92" i="1"/>
  <c r="O92" i="1"/>
  <c r="P92" i="1"/>
  <c r="Q92" i="1"/>
  <c r="R92" i="1"/>
  <c r="S92" i="1"/>
  <c r="T92" i="1"/>
  <c r="U92" i="1"/>
  <c r="V92" i="1"/>
  <c r="W92" i="1"/>
  <c r="X92" i="1"/>
  <c r="Y92" i="1"/>
  <c r="Z92" i="1"/>
  <c r="AA92" i="1"/>
  <c r="AB92" i="1"/>
  <c r="AC92" i="1"/>
  <c r="AD92" i="1"/>
  <c r="I93" i="1"/>
  <c r="J93" i="1"/>
  <c r="K93" i="1"/>
  <c r="L93" i="1"/>
  <c r="M93" i="1"/>
  <c r="N93" i="1"/>
  <c r="O93" i="1"/>
  <c r="P93" i="1"/>
  <c r="Q93" i="1"/>
  <c r="R93" i="1"/>
  <c r="S93" i="1"/>
  <c r="T93" i="1"/>
  <c r="U93" i="1"/>
  <c r="V93" i="1"/>
  <c r="W93" i="1"/>
  <c r="X93" i="1"/>
  <c r="Y93" i="1"/>
  <c r="Z93" i="1"/>
  <c r="AA93" i="1"/>
  <c r="AB93" i="1"/>
  <c r="AC93" i="1"/>
  <c r="AD93" i="1"/>
  <c r="I5" i="1"/>
  <c r="J5" i="1"/>
  <c r="K5" i="1"/>
  <c r="L5" i="1"/>
  <c r="M5" i="1"/>
  <c r="N5" i="1"/>
  <c r="O5" i="1"/>
  <c r="P5" i="1"/>
  <c r="Q5" i="1"/>
  <c r="R5" i="1"/>
  <c r="S5" i="1"/>
  <c r="T5" i="1"/>
  <c r="U5" i="1"/>
  <c r="V5" i="1"/>
  <c r="W5" i="1"/>
  <c r="X5" i="1"/>
  <c r="Y5" i="1"/>
  <c r="Z5" i="1"/>
  <c r="AA5" i="1"/>
  <c r="AB5" i="1"/>
  <c r="AC5" i="1"/>
  <c r="AD5" i="1"/>
  <c r="D48" i="16"/>
  <c r="D51" i="16" s="1"/>
  <c r="C48" i="16"/>
  <c r="F48" i="16" l="1"/>
  <c r="C51" i="16"/>
  <c r="E51" i="16"/>
  <c r="J20" i="18"/>
  <c r="J29" i="18"/>
  <c r="H11" i="19"/>
  <c r="H12" i="19"/>
  <c r="X12" i="19" s="1"/>
  <c r="H13" i="19"/>
  <c r="H14" i="19"/>
  <c r="H15" i="19"/>
  <c r="H16" i="19"/>
  <c r="H17" i="19"/>
  <c r="H18" i="19"/>
  <c r="H19" i="19"/>
  <c r="H20" i="19"/>
  <c r="H21" i="19"/>
  <c r="H22" i="19"/>
  <c r="X22" i="19" s="1"/>
  <c r="H23" i="19"/>
  <c r="H24" i="19"/>
  <c r="X24" i="19" s="1"/>
  <c r="H25" i="19"/>
  <c r="H26" i="19"/>
  <c r="H27" i="19"/>
  <c r="H28" i="19"/>
  <c r="H29" i="19"/>
  <c r="H30" i="19"/>
  <c r="H31" i="19"/>
  <c r="H32" i="19"/>
  <c r="H33" i="19"/>
  <c r="H34" i="19"/>
  <c r="X34" i="19" s="1"/>
  <c r="H35" i="19"/>
  <c r="H36" i="19"/>
  <c r="X36" i="19" s="1"/>
  <c r="H37" i="19"/>
  <c r="H38" i="19"/>
  <c r="H39" i="19"/>
  <c r="H40" i="19"/>
  <c r="H41" i="19"/>
  <c r="H42" i="19"/>
  <c r="H43" i="19"/>
  <c r="H44" i="19"/>
  <c r="H45" i="19"/>
  <c r="H46" i="19"/>
  <c r="X46" i="19" s="1"/>
  <c r="H47" i="19"/>
  <c r="H48" i="19"/>
  <c r="X48" i="19" s="1"/>
  <c r="H49" i="19"/>
  <c r="H50" i="19"/>
  <c r="H51" i="19"/>
  <c r="H52" i="19"/>
  <c r="H53" i="19"/>
  <c r="H54" i="19"/>
  <c r="H55" i="19"/>
  <c r="H56" i="19"/>
  <c r="H57" i="19"/>
  <c r="H58" i="19"/>
  <c r="X58" i="19" s="1"/>
  <c r="H59" i="19"/>
  <c r="H60" i="19"/>
  <c r="X60" i="19" s="1"/>
  <c r="H61" i="19"/>
  <c r="H10" i="19"/>
  <c r="H13" i="18"/>
  <c r="H14" i="18"/>
  <c r="H15" i="18"/>
  <c r="H16" i="18"/>
  <c r="H17" i="18"/>
  <c r="Y17" i="18" s="1"/>
  <c r="H18" i="18"/>
  <c r="H19" i="18"/>
  <c r="Y19" i="18" s="1"/>
  <c r="H20" i="18"/>
  <c r="Y20" i="18" s="1"/>
  <c r="H21" i="18"/>
  <c r="H22" i="18"/>
  <c r="H23" i="18"/>
  <c r="H24" i="18"/>
  <c r="H25" i="18"/>
  <c r="H26" i="18"/>
  <c r="H27" i="18"/>
  <c r="H28" i="18"/>
  <c r="H29" i="18"/>
  <c r="Y29" i="18" s="1"/>
  <c r="H30" i="18"/>
  <c r="H31" i="18"/>
  <c r="H32" i="18"/>
  <c r="H33" i="18"/>
  <c r="H34" i="18"/>
  <c r="H35" i="18"/>
  <c r="H36" i="18"/>
  <c r="H37" i="18"/>
  <c r="H38" i="18"/>
  <c r="H39" i="18"/>
  <c r="H40" i="18"/>
  <c r="H41" i="18"/>
  <c r="Y41" i="18" s="1"/>
  <c r="H42" i="18"/>
  <c r="H43" i="18"/>
  <c r="Y43" i="18" s="1"/>
  <c r="H44" i="18"/>
  <c r="H45" i="18"/>
  <c r="H46" i="18"/>
  <c r="H47" i="18"/>
  <c r="H48" i="18"/>
  <c r="H49" i="18"/>
  <c r="H50" i="18"/>
  <c r="H51" i="18"/>
  <c r="H52" i="18"/>
  <c r="H53" i="18"/>
  <c r="Y53" i="18" s="1"/>
  <c r="H54" i="18"/>
  <c r="H55" i="18"/>
  <c r="Y55" i="18" s="1"/>
  <c r="H56" i="18"/>
  <c r="Y56" i="18" s="1"/>
  <c r="H57" i="18"/>
  <c r="H58" i="18"/>
  <c r="H59" i="18"/>
  <c r="H60" i="18"/>
  <c r="H61" i="18"/>
  <c r="H62" i="18"/>
  <c r="H63" i="18"/>
  <c r="H64" i="18"/>
  <c r="H65" i="18"/>
  <c r="Y65" i="18" s="1"/>
  <c r="H66" i="18"/>
  <c r="H67" i="18"/>
  <c r="H68" i="18"/>
  <c r="H12" i="18"/>
  <c r="J34" i="19" l="1"/>
  <c r="J52" i="19"/>
  <c r="X52" i="19"/>
  <c r="J20" i="19"/>
  <c r="X20" i="19"/>
  <c r="J51" i="19"/>
  <c r="X51" i="19"/>
  <c r="J19" i="19"/>
  <c r="X19" i="19"/>
  <c r="J50" i="19"/>
  <c r="X50" i="19"/>
  <c r="J42" i="19"/>
  <c r="X42" i="19"/>
  <c r="J26" i="19"/>
  <c r="X26" i="19"/>
  <c r="J18" i="19"/>
  <c r="X18" i="19"/>
  <c r="J24" i="19"/>
  <c r="J36" i="19"/>
  <c r="J11" i="19"/>
  <c r="X11" i="19"/>
  <c r="J57" i="19"/>
  <c r="X57" i="19"/>
  <c r="J49" i="19"/>
  <c r="X49" i="19"/>
  <c r="J41" i="19"/>
  <c r="X41" i="19"/>
  <c r="J33" i="19"/>
  <c r="X33" i="19"/>
  <c r="J25" i="19"/>
  <c r="X25" i="19"/>
  <c r="J17" i="19"/>
  <c r="X17" i="19"/>
  <c r="J22" i="19"/>
  <c r="J43" i="19"/>
  <c r="X43" i="19"/>
  <c r="J40" i="19"/>
  <c r="X40" i="19"/>
  <c r="J32" i="19"/>
  <c r="X32" i="19"/>
  <c r="J16" i="19"/>
  <c r="X16" i="19"/>
  <c r="J60" i="19"/>
  <c r="J12" i="19"/>
  <c r="J28" i="19"/>
  <c r="X28" i="19"/>
  <c r="J27" i="19"/>
  <c r="X27" i="19"/>
  <c r="J55" i="19"/>
  <c r="X55" i="19"/>
  <c r="J47" i="19"/>
  <c r="X47" i="19"/>
  <c r="J39" i="19"/>
  <c r="X39" i="19"/>
  <c r="J31" i="19"/>
  <c r="X31" i="19"/>
  <c r="J23" i="19"/>
  <c r="X23" i="19"/>
  <c r="J15" i="19"/>
  <c r="X15" i="19"/>
  <c r="J58" i="19"/>
  <c r="J59" i="19"/>
  <c r="D18" i="9"/>
  <c r="X59" i="19"/>
  <c r="J35" i="19"/>
  <c r="X35" i="19"/>
  <c r="J56" i="19"/>
  <c r="X56" i="19"/>
  <c r="J10" i="19"/>
  <c r="X10" i="19"/>
  <c r="J54" i="19"/>
  <c r="X54" i="19"/>
  <c r="J38" i="19"/>
  <c r="X38" i="19"/>
  <c r="J30" i="19"/>
  <c r="X30" i="19"/>
  <c r="J14" i="19"/>
  <c r="X14" i="19"/>
  <c r="J48" i="19"/>
  <c r="J44" i="19"/>
  <c r="X44" i="19"/>
  <c r="J61" i="19"/>
  <c r="X61" i="19"/>
  <c r="J53" i="19"/>
  <c r="X53" i="19"/>
  <c r="J45" i="19"/>
  <c r="X45" i="19"/>
  <c r="J37" i="19"/>
  <c r="X37" i="19"/>
  <c r="J29" i="19"/>
  <c r="X29" i="19"/>
  <c r="J21" i="19"/>
  <c r="X21" i="19"/>
  <c r="J13" i="19"/>
  <c r="X13" i="19"/>
  <c r="J46" i="19"/>
  <c r="J19" i="18"/>
  <c r="J57" i="18"/>
  <c r="Y57" i="18"/>
  <c r="J64" i="18"/>
  <c r="Y64" i="18"/>
  <c r="J32" i="18"/>
  <c r="Y32" i="18"/>
  <c r="J47" i="18"/>
  <c r="Y47" i="18"/>
  <c r="J39" i="18"/>
  <c r="Y39" i="18"/>
  <c r="J31" i="18"/>
  <c r="Y31" i="18"/>
  <c r="J23" i="18"/>
  <c r="Y23" i="18"/>
  <c r="J15" i="18"/>
  <c r="Y15" i="18"/>
  <c r="J56" i="18"/>
  <c r="J62" i="18"/>
  <c r="Y62" i="18"/>
  <c r="J54" i="18"/>
  <c r="Y54" i="18"/>
  <c r="J46" i="18"/>
  <c r="Y46" i="18"/>
  <c r="J38" i="18"/>
  <c r="Y38" i="18"/>
  <c r="J30" i="18"/>
  <c r="Y30" i="18"/>
  <c r="J22" i="18"/>
  <c r="Y22" i="18"/>
  <c r="J14" i="18"/>
  <c r="Y14" i="18"/>
  <c r="J55" i="18"/>
  <c r="J17" i="18"/>
  <c r="J25" i="18"/>
  <c r="Y25" i="18"/>
  <c r="J24" i="18"/>
  <c r="Y24" i="18"/>
  <c r="J63" i="18"/>
  <c r="Y63" i="18"/>
  <c r="J61" i="18"/>
  <c r="Y61" i="18"/>
  <c r="J45" i="18"/>
  <c r="Y45" i="18"/>
  <c r="J13" i="18"/>
  <c r="Y13" i="18"/>
  <c r="J68" i="18"/>
  <c r="Y68" i="18"/>
  <c r="J60" i="18"/>
  <c r="Y60" i="18"/>
  <c r="J52" i="18"/>
  <c r="Y52" i="18"/>
  <c r="Y44" i="18"/>
  <c r="C17" i="9"/>
  <c r="J36" i="18"/>
  <c r="Y36" i="18"/>
  <c r="J28" i="18"/>
  <c r="Y28" i="18"/>
  <c r="J44" i="18"/>
  <c r="J49" i="18"/>
  <c r="Y49" i="18"/>
  <c r="J40" i="18"/>
  <c r="Y40" i="18"/>
  <c r="J16" i="18"/>
  <c r="Y16" i="18"/>
  <c r="J37" i="18"/>
  <c r="Y37" i="18"/>
  <c r="J21" i="18"/>
  <c r="Y21" i="18"/>
  <c r="J53" i="18"/>
  <c r="J67" i="18"/>
  <c r="Y67" i="18"/>
  <c r="J51" i="18"/>
  <c r="Y51" i="18"/>
  <c r="J35" i="18"/>
  <c r="Y35" i="18"/>
  <c r="J27" i="18"/>
  <c r="Y27" i="18"/>
  <c r="J43" i="18"/>
  <c r="J33" i="18"/>
  <c r="Y33" i="18"/>
  <c r="J48" i="18"/>
  <c r="Y48" i="18"/>
  <c r="J65" i="18"/>
  <c r="J12" i="18"/>
  <c r="Y12" i="18"/>
  <c r="J59" i="18"/>
  <c r="Y59" i="18"/>
  <c r="J66" i="18"/>
  <c r="Y66" i="18"/>
  <c r="J58" i="18"/>
  <c r="Y58" i="18"/>
  <c r="J50" i="18"/>
  <c r="Y50" i="18"/>
  <c r="J42" i="18"/>
  <c r="Y42" i="18"/>
  <c r="J34" i="18"/>
  <c r="Y34" i="18"/>
  <c r="J26" i="18"/>
  <c r="Y26" i="18"/>
  <c r="J18" i="18"/>
  <c r="Y18" i="18"/>
  <c r="J41" i="18"/>
  <c r="F51" i="16"/>
  <c r="D14" i="9"/>
  <c r="D13" i="9"/>
  <c r="D12" i="9"/>
  <c r="C14" i="9"/>
  <c r="C13" i="9"/>
  <c r="C12" i="9"/>
  <c r="CP95" i="1" l="1"/>
  <c r="CH34" i="1"/>
  <c r="CI67" i="1" l="1"/>
  <c r="CH67" i="1"/>
  <c r="CH95" i="1"/>
  <c r="CH83" i="1"/>
  <c r="CJ95" i="1"/>
  <c r="CE93" i="1" l="1"/>
  <c r="CD93" i="1"/>
  <c r="CE92" i="1"/>
  <c r="CD92" i="1"/>
  <c r="CE91" i="1"/>
  <c r="CD91" i="1"/>
  <c r="CE90" i="1"/>
  <c r="CD90" i="1"/>
  <c r="CE89" i="1"/>
  <c r="CD89" i="1"/>
  <c r="CE88" i="1"/>
  <c r="CD88" i="1"/>
  <c r="CE87" i="1"/>
  <c r="CD87" i="1"/>
  <c r="CE86" i="1"/>
  <c r="CD86" i="1"/>
  <c r="CE85" i="1"/>
  <c r="CD85" i="1"/>
  <c r="CE84" i="1"/>
  <c r="CD84" i="1"/>
  <c r="CE83" i="1"/>
  <c r="CD83" i="1"/>
  <c r="CE82" i="1"/>
  <c r="CD82" i="1"/>
  <c r="CE81" i="1"/>
  <c r="CD81" i="1"/>
  <c r="CE80" i="1"/>
  <c r="CD80" i="1"/>
  <c r="CE79" i="1"/>
  <c r="CD79" i="1"/>
  <c r="CE78" i="1"/>
  <c r="CD78" i="1"/>
  <c r="CE77" i="1"/>
  <c r="CD77" i="1"/>
  <c r="CE76" i="1"/>
  <c r="CD76" i="1"/>
  <c r="CE75" i="1"/>
  <c r="CD75" i="1"/>
  <c r="CE74" i="1"/>
  <c r="CD74" i="1"/>
  <c r="CE73" i="1"/>
  <c r="CD73" i="1"/>
  <c r="CE72" i="1"/>
  <c r="CD72" i="1"/>
  <c r="CE71" i="1"/>
  <c r="CD71" i="1"/>
  <c r="CE70" i="1"/>
  <c r="CD70" i="1"/>
  <c r="CE69" i="1"/>
  <c r="CD69" i="1"/>
  <c r="CE68" i="1"/>
  <c r="CD68" i="1"/>
  <c r="CE67" i="1"/>
  <c r="CD67" i="1"/>
  <c r="CE66" i="1"/>
  <c r="CD66" i="1"/>
  <c r="CE65" i="1"/>
  <c r="CD65" i="1"/>
  <c r="CE64" i="1"/>
  <c r="CD64" i="1"/>
  <c r="CE63" i="1"/>
  <c r="CD63" i="1"/>
  <c r="CE62" i="1"/>
  <c r="CD62" i="1"/>
  <c r="CE61" i="1"/>
  <c r="CD61" i="1"/>
  <c r="CE60" i="1"/>
  <c r="CD60" i="1"/>
  <c r="CE59" i="1"/>
  <c r="CD59" i="1"/>
  <c r="CE58" i="1"/>
  <c r="CD58" i="1"/>
  <c r="CE57" i="1"/>
  <c r="CD57" i="1"/>
  <c r="CE56" i="1"/>
  <c r="CD56" i="1"/>
  <c r="CE55" i="1"/>
  <c r="CD55" i="1"/>
  <c r="CE54" i="1"/>
  <c r="CD54" i="1"/>
  <c r="CE53" i="1"/>
  <c r="CD53" i="1"/>
  <c r="CE52" i="1"/>
  <c r="CD52" i="1"/>
  <c r="CE51" i="1"/>
  <c r="CD51" i="1"/>
  <c r="CE50" i="1"/>
  <c r="CD50" i="1"/>
  <c r="CE49" i="1"/>
  <c r="CD49" i="1"/>
  <c r="CE48" i="1"/>
  <c r="CD48" i="1"/>
  <c r="CE47" i="1"/>
  <c r="CD47" i="1"/>
  <c r="CE46" i="1"/>
  <c r="CD46" i="1"/>
  <c r="CE45" i="1"/>
  <c r="CD45" i="1"/>
  <c r="CE44" i="1"/>
  <c r="CD44" i="1"/>
  <c r="CE43" i="1"/>
  <c r="CD43" i="1"/>
  <c r="CE42" i="1"/>
  <c r="CD42" i="1"/>
  <c r="CE41" i="1"/>
  <c r="CD41" i="1"/>
  <c r="CE40" i="1"/>
  <c r="CD40" i="1"/>
  <c r="CE39" i="1"/>
  <c r="CD39" i="1"/>
  <c r="CE38" i="1"/>
  <c r="CD38" i="1"/>
  <c r="CE37" i="1"/>
  <c r="CD37" i="1"/>
  <c r="CE36" i="1"/>
  <c r="CD36" i="1"/>
  <c r="CE35" i="1"/>
  <c r="CD35" i="1"/>
  <c r="CE34" i="1"/>
  <c r="CD34" i="1"/>
  <c r="CE33" i="1"/>
  <c r="CD33" i="1"/>
  <c r="CE32" i="1"/>
  <c r="CD32" i="1"/>
  <c r="CE31" i="1"/>
  <c r="CD31" i="1"/>
  <c r="CE30" i="1"/>
  <c r="CD30" i="1"/>
  <c r="CE29" i="1"/>
  <c r="CD29" i="1"/>
  <c r="CE28" i="1"/>
  <c r="CD28" i="1"/>
  <c r="CE27" i="1"/>
  <c r="CD27" i="1"/>
  <c r="CE26" i="1"/>
  <c r="CD26" i="1"/>
  <c r="CE25" i="1"/>
  <c r="CD25" i="1"/>
  <c r="CE24" i="1"/>
  <c r="CD24" i="1"/>
  <c r="CE23" i="1"/>
  <c r="CD23" i="1"/>
  <c r="CE22" i="1"/>
  <c r="CD22" i="1"/>
  <c r="CE21" i="1"/>
  <c r="CD21" i="1"/>
  <c r="CE20" i="1"/>
  <c r="CD20" i="1"/>
  <c r="CE19" i="1"/>
  <c r="CD19" i="1"/>
  <c r="CE18" i="1"/>
  <c r="CD18" i="1"/>
  <c r="CE17" i="1"/>
  <c r="CD17" i="1"/>
  <c r="CE16" i="1"/>
  <c r="CD16" i="1"/>
  <c r="CE15" i="1"/>
  <c r="CD15" i="1"/>
  <c r="CE14" i="1"/>
  <c r="CD14" i="1"/>
  <c r="CE13" i="1"/>
  <c r="CD13" i="1"/>
  <c r="CE12" i="1"/>
  <c r="CD12" i="1"/>
  <c r="CE11" i="1"/>
  <c r="CD11" i="1"/>
  <c r="CE10" i="1"/>
  <c r="CD10" i="1"/>
  <c r="CE9" i="1"/>
  <c r="CD9" i="1"/>
  <c r="CE8" i="1"/>
  <c r="CD8" i="1"/>
  <c r="CE7" i="1"/>
  <c r="CD7" i="1"/>
  <c r="CE6" i="1"/>
  <c r="CD6" i="1"/>
  <c r="CE5" i="1"/>
  <c r="CD5" i="1"/>
  <c r="E95" i="1"/>
  <c r="F95" i="1"/>
  <c r="G95" i="1"/>
  <c r="H95" i="1"/>
  <c r="AB95" i="1" l="1"/>
  <c r="AD95" i="1"/>
  <c r="AA95" i="1"/>
  <c r="AC95" i="1"/>
  <c r="L95" i="1"/>
  <c r="U95" i="1"/>
  <c r="S95" i="1" l="1"/>
  <c r="P95" i="1"/>
  <c r="X95" i="1"/>
  <c r="W95" i="1"/>
  <c r="Z95" i="1"/>
  <c r="V95" i="1"/>
  <c r="Y95" i="1"/>
  <c r="O95" i="1"/>
  <c r="M95" i="1"/>
  <c r="K95" i="1"/>
  <c r="Q95" i="1"/>
  <c r="R95" i="1"/>
  <c r="T95" i="1"/>
  <c r="N95" i="1"/>
  <c r="J95" i="1"/>
  <c r="I95" i="1"/>
  <c r="CI95" i="1" l="1"/>
  <c r="CQ95" i="1" l="1"/>
  <c r="C15" i="9" l="1"/>
  <c r="F17" i="9" s="1"/>
  <c r="D15" i="9" l="1"/>
  <c r="F18" i="9" s="1"/>
  <c r="F22" i="9" s="1"/>
  <c r="B4" i="2" l="1"/>
  <c r="E84" i="2" s="1"/>
  <c r="E66" i="2" l="1"/>
  <c r="E65" i="2"/>
  <c r="E80" i="2"/>
  <c r="E79" i="2"/>
  <c r="E82" i="2"/>
  <c r="E81" i="2"/>
  <c r="E78" i="2"/>
  <c r="E77" i="2"/>
  <c r="E76" i="2"/>
  <c r="E75" i="2"/>
  <c r="E74" i="2"/>
  <c r="D7" i="2"/>
  <c r="E70" i="2"/>
  <c r="E68" i="2"/>
  <c r="E69" i="2"/>
  <c r="E67" i="2"/>
  <c r="E57" i="2"/>
  <c r="E40" i="2"/>
  <c r="E41" i="2"/>
  <c r="E42" i="2"/>
  <c r="E58" i="2"/>
  <c r="E47" i="2" l="1"/>
  <c r="E51" i="2" l="1"/>
  <c r="E50" i="2"/>
  <c r="E48" i="2"/>
  <c r="E52" i="2"/>
  <c r="E49" i="2"/>
  <c r="BD95" i="1" l="1"/>
  <c r="BD97" i="1" s="1"/>
  <c r="BD100" i="1" s="1"/>
  <c r="E37" i="2"/>
  <c r="E36" i="2"/>
  <c r="C12" i="2"/>
  <c r="C13" i="2"/>
  <c r="BE95" i="1" l="1"/>
  <c r="E39" i="2" l="1"/>
  <c r="E38" i="2" l="1"/>
  <c r="D22" i="2" l="1"/>
  <c r="D15" i="2" l="1"/>
  <c r="D31" i="2"/>
  <c r="D33" i="2"/>
  <c r="D19" i="2"/>
  <c r="D26" i="2"/>
  <c r="D24" i="2"/>
  <c r="D14" i="2"/>
  <c r="D30" i="2"/>
  <c r="D29" i="2"/>
  <c r="D21" i="2"/>
  <c r="D32" i="2"/>
  <c r="D16" i="2"/>
  <c r="D23" i="2"/>
  <c r="D25" i="2"/>
  <c r="D28" i="2"/>
  <c r="D20" i="2"/>
  <c r="D27" i="2"/>
  <c r="D18" i="2"/>
  <c r="D17" i="2"/>
  <c r="AH95" i="1"/>
  <c r="AI95" i="1"/>
  <c r="CE95" i="1" l="1"/>
  <c r="E33" i="16"/>
  <c r="D33" i="16"/>
  <c r="C33" i="16"/>
  <c r="E15" i="16"/>
  <c r="D15" i="16"/>
  <c r="C15" i="16"/>
  <c r="B4" i="16"/>
  <c r="C8" i="16" l="1"/>
  <c r="C10" i="16"/>
  <c r="D16" i="16" s="1"/>
  <c r="C28" i="16"/>
  <c r="E34" i="16" s="1"/>
  <c r="E36" i="16" s="1"/>
  <c r="D8" i="16"/>
  <c r="D9" i="16" s="1"/>
  <c r="D26" i="16"/>
  <c r="D27" i="16" s="1"/>
  <c r="E8" i="16"/>
  <c r="E9" i="16" s="1"/>
  <c r="E26" i="16"/>
  <c r="E27" i="16" s="1"/>
  <c r="C26" i="16"/>
  <c r="C27" i="16" s="1"/>
  <c r="F33" i="16"/>
  <c r="F15" i="16"/>
  <c r="C34" i="16" l="1"/>
  <c r="C36" i="16" s="1"/>
  <c r="E28" i="16"/>
  <c r="E30" i="16" s="1"/>
  <c r="E38" i="16" s="1"/>
  <c r="C30" i="16"/>
  <c r="F8" i="16"/>
  <c r="F26" i="16"/>
  <c r="D28" i="16"/>
  <c r="D30" i="16" s="1"/>
  <c r="D34" i="16"/>
  <c r="D36" i="16" s="1"/>
  <c r="C9" i="16"/>
  <c r="C38" i="16" l="1"/>
  <c r="F36" i="16"/>
  <c r="D38" i="16"/>
  <c r="F30" i="16"/>
  <c r="F38" i="16" l="1"/>
  <c r="CL95" i="1" l="1"/>
  <c r="BL95" i="1" l="1"/>
  <c r="BK95" i="1"/>
  <c r="BK97" i="1" s="1"/>
  <c r="BK100" i="1" s="1"/>
  <c r="BJ95" i="1"/>
  <c r="BJ97" i="1" s="1"/>
  <c r="BH95" i="1"/>
  <c r="BH97" i="1" s="1"/>
  <c r="BG95" i="1"/>
  <c r="BG97" i="1" s="1"/>
  <c r="BG100" i="1" s="1"/>
  <c r="BF95" i="1"/>
  <c r="BE97" i="1" s="1"/>
  <c r="BE100" i="1" s="1"/>
  <c r="BC95" i="1"/>
  <c r="BB95" i="1"/>
  <c r="BA95" i="1"/>
  <c r="AZ95" i="1"/>
  <c r="AY95" i="1"/>
  <c r="AX95" i="1"/>
  <c r="AW95" i="1"/>
  <c r="AV95" i="1"/>
  <c r="AU95" i="1"/>
  <c r="AT95" i="1"/>
  <c r="AS95" i="1"/>
  <c r="AR95" i="1"/>
  <c r="AQ95" i="1"/>
  <c r="AP95" i="1"/>
  <c r="AO95" i="1"/>
  <c r="AN95" i="1"/>
  <c r="AM95" i="1"/>
  <c r="AL95" i="1"/>
  <c r="AK95" i="1"/>
  <c r="AJ95" i="1"/>
  <c r="AG95" i="1"/>
  <c r="AG100" i="1" s="1"/>
  <c r="AF95" i="1"/>
  <c r="AF100" i="1" s="1"/>
  <c r="AE95" i="1"/>
  <c r="D95" i="1"/>
  <c r="CG95" i="1"/>
  <c r="CF95" i="1"/>
  <c r="CU95" i="1"/>
  <c r="CT95" i="1"/>
  <c r="CS95" i="1"/>
  <c r="CR95" i="1"/>
  <c r="CO95" i="1"/>
  <c r="CN95" i="1"/>
  <c r="CM95" i="1"/>
  <c r="BB97" i="1" l="1"/>
  <c r="BB100" i="1" s="1"/>
  <c r="AZ97" i="1"/>
  <c r="AZ100" i="1" s="1"/>
  <c r="AX97" i="1"/>
  <c r="AX100" i="1" s="1"/>
  <c r="AE100" i="1"/>
  <c r="AE97" i="1"/>
  <c r="AH97" i="1"/>
  <c r="AH100" i="1" s="1"/>
  <c r="BL97" i="1"/>
  <c r="D12" i="2"/>
  <c r="E12" i="2" s="1"/>
  <c r="D13" i="2"/>
  <c r="E13" i="2" s="1"/>
  <c r="C31" i="2"/>
  <c r="C30" i="2"/>
  <c r="C27" i="2"/>
  <c r="C26" i="2"/>
  <c r="C25" i="2"/>
  <c r="C24" i="2"/>
  <c r="C23" i="2"/>
  <c r="C22" i="2"/>
  <c r="C21" i="2"/>
  <c r="C20" i="2"/>
  <c r="C19" i="2"/>
  <c r="C18" i="2"/>
  <c r="C17" i="2"/>
  <c r="C16" i="2"/>
  <c r="C29" i="2"/>
  <c r="C28" i="2"/>
  <c r="C33" i="2" l="1"/>
  <c r="C32" i="2"/>
  <c r="C7" i="2"/>
  <c r="C14" i="2"/>
  <c r="C15" i="2" l="1"/>
  <c r="C8" i="2"/>
  <c r="C9" i="2" l="1"/>
  <c r="E26" i="2" l="1"/>
  <c r="E24" i="2"/>
  <c r="E29" i="2"/>
  <c r="E16" i="2"/>
  <c r="E19" i="2"/>
  <c r="E17" i="2"/>
  <c r="E30" i="2"/>
  <c r="E28" i="2"/>
  <c r="E31" i="2"/>
  <c r="D8" i="2"/>
  <c r="E8" i="2" s="1"/>
  <c r="E20" i="2"/>
  <c r="E21" i="2"/>
  <c r="E27" i="2"/>
  <c r="E22" i="2"/>
  <c r="E15" i="2"/>
  <c r="E32" i="2"/>
  <c r="E18" i="2"/>
  <c r="D9" i="2"/>
  <c r="E9" i="2" s="1"/>
  <c r="E25" i="2"/>
  <c r="E23" i="2"/>
  <c r="E33" i="2"/>
  <c r="E14" i="2"/>
  <c r="I14" i="2" s="1"/>
  <c r="I20" i="2" l="1"/>
  <c r="E34" i="2"/>
  <c r="D10" i="2"/>
  <c r="D58" i="2" s="1"/>
  <c r="E43" i="2"/>
  <c r="E7" i="2"/>
  <c r="E10" i="2" s="1"/>
  <c r="D57" i="2" l="1"/>
  <c r="E45" i="2"/>
  <c r="E53" i="2" l="1"/>
  <c r="E60" i="2" s="1"/>
  <c r="BM95" i="1"/>
  <c r="BM97" i="1" s="1"/>
  <c r="E62" i="2" l="1"/>
  <c r="CA95" i="1"/>
  <c r="BZ95" i="1"/>
  <c r="BX95" i="1" l="1"/>
  <c r="BX3" i="1" s="1"/>
  <c r="BR95" i="1"/>
  <c r="BQ95" i="1"/>
  <c r="BS95" i="1"/>
  <c r="BS3" i="1" s="1"/>
  <c r="CD97" i="1" l="1"/>
  <c r="D18" i="16" l="1"/>
  <c r="CD95" i="1"/>
  <c r="CD99" i="1" s="1"/>
  <c r="E10" i="16" l="1"/>
  <c r="E12" i="16" s="1"/>
  <c r="C12" i="16"/>
  <c r="C16" i="16"/>
  <c r="C18" i="16" s="1"/>
  <c r="D10" i="16"/>
  <c r="D12" i="16" s="1"/>
  <c r="D20" i="16" s="1"/>
  <c r="E16" i="16"/>
  <c r="E18" i="16" s="1"/>
  <c r="BI95" i="1"/>
  <c r="BI97" i="1" s="1"/>
  <c r="BI100" i="1" s="1"/>
  <c r="F12" i="16" l="1"/>
  <c r="F18" i="16"/>
  <c r="E20" i="16"/>
  <c r="C20" i="16"/>
  <c r="BN95" i="1"/>
  <c r="BN97" i="1" s="1"/>
  <c r="F20" i="16" l="1"/>
  <c r="BP95" i="1"/>
  <c r="BP3" i="1" l="1"/>
  <c r="BP97" i="1"/>
  <c r="BQ97" i="1"/>
  <c r="CB95" i="1"/>
  <c r="BY95" i="1"/>
  <c r="CB97" i="1" s="1"/>
  <c r="CB98" i="1" l="1"/>
  <c r="BY3" i="1"/>
  <c r="E55" i="2" l="1"/>
  <c r="BO95" i="1"/>
</calcChain>
</file>

<file path=xl/sharedStrings.xml><?xml version="1.0" encoding="utf-8"?>
<sst xmlns="http://schemas.openxmlformats.org/spreadsheetml/2006/main" count="825" uniqueCount="476">
  <si>
    <t>Notes to the funding allocations</t>
  </si>
  <si>
    <t>DSG Schools Block</t>
  </si>
  <si>
    <r>
      <t>Unit Data</t>
    </r>
    <r>
      <rPr>
        <sz val="10"/>
        <color rgb="FF000000"/>
        <rFont val="Arial"/>
        <family val="2"/>
      </rPr>
      <t xml:space="preserve"> - The unit data used comes directly from the DfE, which is in the format as a percentage of the number on roll. All authorities have been instructed to use this data, which is driven in the main by the October 2024 pupil census data. This data is only amendable where it is not representative. As percentages of numbers on roll have been used, the pupil numbers will not be absolute.
The unit values for have been updated to the </t>
    </r>
    <r>
      <rPr>
        <b/>
        <sz val="10"/>
        <color rgb="FF000000"/>
        <rFont val="Arial"/>
        <family val="2"/>
      </rPr>
      <t>National Funding Formula values for 2025/26.</t>
    </r>
    <r>
      <rPr>
        <sz val="10"/>
        <color rgb="FF000000"/>
        <rFont val="Arial"/>
        <family val="2"/>
      </rPr>
      <t xml:space="preserve">
In order to manage the distribution of resources, the AWPU has been used to balance the total Individual Schools Budget shares, which have increased by </t>
    </r>
    <r>
      <rPr>
        <b/>
        <sz val="10"/>
        <color rgb="FF000000"/>
        <rFont val="Arial"/>
        <family val="2"/>
      </rPr>
      <t>8.5%</t>
    </r>
    <r>
      <rPr>
        <sz val="10"/>
        <color rgb="FF000000"/>
        <rFont val="Arial"/>
        <family val="2"/>
      </rPr>
      <t xml:space="preserve"> in 2025/26.</t>
    </r>
  </si>
  <si>
    <r>
      <t>Pupil Data</t>
    </r>
    <r>
      <rPr>
        <sz val="10"/>
        <rFont val="Arial"/>
        <family val="2"/>
      </rPr>
      <t xml:space="preserve"> - The Pupil Data is based on the October 2024 pupil census as provided by the DfE. The NOR used does not include pupils on the census marked as 'S' (subsidiary registration for dual roled pupils)                                                                                                                                                                                                                                                   
If a school has opened in the last 7 years and is still admitting to all its year groups, we are required by regulations to estimate pupil numbers. Therefore the NOR for these schools will not match the value on the October 2024 census. For these schools, the figures shown are calculated based on the LA's financial year and as such include an element of part year effect for growth for our modelling purposes only, and also to enable the ESFA to recoup funding for them.              </t>
    </r>
  </si>
  <si>
    <r>
      <t>AWPU</t>
    </r>
    <r>
      <rPr>
        <sz val="10"/>
        <rFont val="Arial"/>
        <family val="2"/>
      </rPr>
      <t xml:space="preserve"> - There are only three allowable rates, Primary, KS3 and KS4. There is an increase from last year on these unit rates due to the significant increase in Schools Block funding.</t>
    </r>
  </si>
  <si>
    <r>
      <t xml:space="preserve">Deprivation - </t>
    </r>
    <r>
      <rPr>
        <sz val="10"/>
        <rFont val="Arial"/>
        <family val="2"/>
      </rPr>
      <t>The allocation of this factor uses FSM6 and IDACI data. The total funding distributed through the factor in 2025/26 is 9.84%. This is an increase in 2025/26 as the DfE have increased the rates for grants incorporated into the schools block for 2025/26</t>
    </r>
    <r>
      <rPr>
        <b/>
        <sz val="10"/>
        <rFont val="Arial"/>
        <family val="2"/>
      </rPr>
      <t xml:space="preserve">                                                                                                                                                                                    </t>
    </r>
  </si>
  <si>
    <r>
      <t>English as an Additional Language</t>
    </r>
    <r>
      <rPr>
        <sz val="10"/>
        <rFont val="Arial"/>
        <family val="2"/>
      </rPr>
      <t xml:space="preserve"> - The agreed factor that has been used is EAL3, where the number of eligible pupils is determined based on children deemed EAL on the census that have been in the school system for less than 3 years.                     </t>
    </r>
  </si>
  <si>
    <r>
      <t>Prior Attainment Primary</t>
    </r>
    <r>
      <rPr>
        <sz val="10"/>
        <rFont val="Arial"/>
        <family val="2"/>
      </rPr>
      <t xml:space="preserve"> - This has to be calculated on the Early Years Foundation Stage Profile (EYSFP). For 2025/26 the number of eligible pupils for this factor is based on primary pupils not achieving the expected level of development in the EYSFP. </t>
    </r>
  </si>
  <si>
    <r>
      <t>Prior Attainment Secondary</t>
    </r>
    <r>
      <rPr>
        <sz val="10"/>
        <rFont val="Arial"/>
        <family val="2"/>
      </rPr>
      <t xml:space="preserve"> - This is now calculated using the new KS2 tests for Yr 7-9 pupils, and the previous testing regime for Yr 10 &amp; 11 pupils. This factor applies to secondary pupils not reaching the expected standard in KS2 at either reading or writing or maths.</t>
    </r>
  </si>
  <si>
    <r>
      <t xml:space="preserve">Mobility - </t>
    </r>
    <r>
      <rPr>
        <sz val="10"/>
        <rFont val="Arial"/>
        <family val="2"/>
      </rPr>
      <t>This factor is based on those pupils whose start date at the school is not September, and entered the school in the last three academic years (excluding nursery entrants). Schools with over 6% of pupils meeting the criteria will attract funding under this factor.</t>
    </r>
  </si>
  <si>
    <r>
      <t>Rates</t>
    </r>
    <r>
      <rPr>
        <sz val="10"/>
        <rFont val="Arial"/>
        <family val="2"/>
      </rPr>
      <t xml:space="preserve"> - This is made up two elements; an amount for estimated 2025/26 rates bills, and an adjustment for actual 2024/25 estimates and the 2025/26 funding.  Academies do not receive funding in the GAG for rates, and claim in year for their bills, so the figures shown are purely for LA modelling purposes.</t>
    </r>
  </si>
  <si>
    <r>
      <t>Minimum Funding Guarantee Budget</t>
    </r>
    <r>
      <rPr>
        <sz val="10"/>
        <rFont val="Arial"/>
        <family val="2"/>
      </rPr>
      <t xml:space="preserve"> - This is determined by deducting the lump sum and the rates figures from the
2025/26 school budget share.  This figure is then divided by the pupil numbers on roll to arrive at the per pupil funding for
2025/26. This is then compared to a similarly calculated per pupil funding for 2024/25</t>
    </r>
  </si>
  <si>
    <r>
      <t>Minimum Funding Guarantee Adjustment</t>
    </r>
    <r>
      <rPr>
        <sz val="10"/>
        <rFont val="Arial"/>
        <family val="2"/>
      </rPr>
      <t xml:space="preserve"> - The MFG is set at </t>
    </r>
    <r>
      <rPr>
        <b/>
        <sz val="10"/>
        <rFont val="Arial"/>
        <family val="2"/>
      </rPr>
      <t>0.0%</t>
    </r>
    <r>
      <rPr>
        <sz val="10"/>
        <rFont val="Arial"/>
        <family val="2"/>
      </rPr>
      <t>. Effectively this ensures each school will gain, as a minimum, an increase of 0.0% per pupil funding when compared to the 2024/25 MFG Budget per pupil. The MFG percentage change indicates the impact on a schools funding, and the MFG Adjustment percentage reflects the difference between this and the assumption that each school should see an increase of 0.0% per pupil. Where the adjustment percentage figure is positive, the school will receive a MFG funding allocation, which is reflected in the MFG Adjustment row. Please note the total percentage difference year on year may be less than 0.0% as the MFG protects the per pupil amount, not pupil number variations.</t>
    </r>
  </si>
  <si>
    <r>
      <t>Notional SEN -</t>
    </r>
    <r>
      <rPr>
        <sz val="10"/>
        <rFont val="Arial"/>
        <family val="2"/>
      </rPr>
      <t xml:space="preserve"> The notional SEN budget is </t>
    </r>
    <r>
      <rPr>
        <b/>
        <sz val="10"/>
        <rFont val="Arial"/>
        <family val="2"/>
      </rPr>
      <t xml:space="preserve">not </t>
    </r>
    <r>
      <rPr>
        <sz val="10"/>
        <rFont val="Arial"/>
        <family val="2"/>
      </rPr>
      <t>a budget that is separate from a school’s overall budget. It is an identified amount within a maintained school’s delegated budget share or an academy’s general annual grant. It is intended as a guide for a school’s spending decisions, and is neither a target nor a constraint on a school’s duty to use its ‘best endeavours’ to secure special provision for its pupils with SEN.</t>
    </r>
  </si>
  <si>
    <r>
      <rPr>
        <b/>
        <sz val="10"/>
        <color rgb="FF000000"/>
        <rFont val="Arial"/>
        <family val="2"/>
      </rPr>
      <t>Education Functions</t>
    </r>
    <r>
      <rPr>
        <sz val="10"/>
        <color rgb="FF000000"/>
        <rFont val="Arial"/>
        <family val="2"/>
      </rPr>
      <t xml:space="preserve"> - This is only applicable to council maintained schools (i.e. not academies or free schools). Schools Forum agreed to the de-delegation of funding for the Teachers Pensions Support &amp; Administration. LA also requested De-degelation for ESG General Grant,  School forum did'nt approve this , however was approved by the SOS. so the charge for the General ESG Duties is £12.30 per pupil. </t>
    </r>
  </si>
  <si>
    <t>Other DSG Funding</t>
  </si>
  <si>
    <r>
      <rPr>
        <b/>
        <sz val="10"/>
        <color rgb="FF000000"/>
        <rFont val="Arial"/>
        <family val="2"/>
      </rPr>
      <t>EYSFF (universal hours)</t>
    </r>
    <r>
      <rPr>
        <sz val="10"/>
        <color rgb="FF000000"/>
        <rFont val="Arial"/>
        <family val="2"/>
      </rPr>
      <t xml:space="preserve"> - This indicative funding has been based on the actual nursery numbers in the </t>
    </r>
    <r>
      <rPr>
        <b/>
        <sz val="10"/>
        <color rgb="FF000000"/>
        <rFont val="Arial"/>
        <family val="2"/>
      </rPr>
      <t>3 census in 2024</t>
    </r>
    <r>
      <rPr>
        <sz val="10"/>
        <color rgb="FF000000"/>
        <rFont val="Arial"/>
        <family val="2"/>
      </rPr>
      <t xml:space="preserve"> which are then multiplied by your hourly rate. The Early Years Funding Formula has changed from 2024/25 with a universal base rate (92%), deprivation rate (4%) and additional needs factor (4%) equating a 96% pass through rate for the Early Years Block. There is a move away from the SEND supplement which is no longer compliant and will be phased out in the medium term. A 25% reduction in the supplement in 25-26 has been redistributed to the base  and deprivation elements, with an increase in budget to the 'Early Years Inclusion Fund' The number of hours is an estimate and funding will be amended throughout the year based on actual uptake of the free entitlement.
</t>
    </r>
    <r>
      <rPr>
        <b/>
        <sz val="10"/>
        <color rgb="FF000000"/>
        <rFont val="Arial"/>
        <family val="2"/>
      </rPr>
      <t xml:space="preserve">EYSFF (additional hours) - </t>
    </r>
    <r>
      <rPr>
        <sz val="10"/>
        <color rgb="FF000000"/>
        <rFont val="Arial"/>
        <family val="2"/>
      </rPr>
      <t xml:space="preserve"> This indicative funding is based on the actuals paid across the three terms in 2024-25. These figures derived from the submissions made via the FIS collections portal. The funding will be amended throughout the year based on actual uptake of the additional entitlement. The funding formula is as above.
The EY Hourly rate represented in the calculator is an aggregate of the hourly rate for basic entitlement, and the supplements in the fundign formula. It is there expeccted that this hourly rate could be affected by changes in pupil profiles. 
</t>
    </r>
  </si>
  <si>
    <r>
      <rPr>
        <b/>
        <sz val="10"/>
        <color rgb="FF000000"/>
        <rFont val="Arial"/>
        <family val="2"/>
      </rPr>
      <t xml:space="preserve">Growth Contingency - </t>
    </r>
    <r>
      <rPr>
        <sz val="10"/>
        <color rgb="FF000000"/>
        <rFont val="Arial"/>
        <family val="2"/>
      </rPr>
      <t>This is a contingency of DSG funding held and managed by Schools Forum, which provides funding to those schools who take on an additional form of entry in September. The LA is currently only commissioning 'Bulge' years. This is calculated by multipling the  agreed numer of additional pupils at setting by the average AWPU for the appropriate KS. This contingency is approved annually by Schools Forum.</t>
    </r>
  </si>
  <si>
    <r>
      <rPr>
        <b/>
        <sz val="10"/>
        <color rgb="FF000000"/>
        <rFont val="Arial"/>
        <family val="2"/>
      </rPr>
      <t>Place funding allocation</t>
    </r>
    <r>
      <rPr>
        <sz val="10"/>
        <color rgb="FF000000"/>
        <rFont val="Arial"/>
        <family val="2"/>
      </rPr>
      <t xml:space="preserve"> is reserved for schools that have designated units/special resource provisions. The amount of funding is calculated at £6k per place pro-rata for number of places commissioned for the academic year. Top-up funding is estimated based on the placements at the school as at the last Spring term. This figure can be amended accordingly based on local intelligence. </t>
    </r>
  </si>
  <si>
    <t>Other Grants (ESTIMATES) Maintained schools only</t>
  </si>
  <si>
    <r>
      <rPr>
        <b/>
        <sz val="10"/>
        <rFont val="Arial"/>
        <family val="2"/>
      </rPr>
      <t>Pupil Premium (Deprivation)</t>
    </r>
    <r>
      <rPr>
        <sz val="10"/>
        <rFont val="Arial"/>
        <family val="2"/>
      </rPr>
      <t xml:space="preserve"> This is an estimate of 25 - 26 funding based on the previous years actuals. The DfE will provide updated allocations during the summer term at which time adjustments will be made to schools budgets.</t>
    </r>
  </si>
  <si>
    <r>
      <rPr>
        <b/>
        <sz val="10"/>
        <rFont val="Arial"/>
        <family val="2"/>
      </rPr>
      <t>Pupil Premium (Service Children)</t>
    </r>
    <r>
      <rPr>
        <sz val="10"/>
        <rFont val="Arial"/>
        <family val="2"/>
      </rPr>
      <t xml:space="preserve"> This is an estimate of 25 - 26 funding based on the previous years actuals. The DfE will provide updated allocations during the summer term at which time adjustments will be made to schools budgets.</t>
    </r>
  </si>
  <si>
    <r>
      <rPr>
        <b/>
        <sz val="10"/>
        <rFont val="Arial"/>
        <family val="2"/>
      </rPr>
      <t>Pupil Premium (Post LAC)</t>
    </r>
    <r>
      <rPr>
        <sz val="10"/>
        <rFont val="Arial"/>
        <family val="2"/>
      </rPr>
      <t xml:space="preserve"> This is an estimate of 25 - 26 funding based on the previous years actuals. The DfE will provide updated allocations during the summer term at which time adjustments will be made to schools budgets.</t>
    </r>
  </si>
  <si>
    <r>
      <rPr>
        <b/>
        <sz val="10"/>
        <rFont val="Arial"/>
        <family val="2"/>
      </rPr>
      <t>PE and Sports Grant</t>
    </r>
    <r>
      <rPr>
        <sz val="10"/>
        <rFont val="Arial"/>
        <family val="2"/>
      </rPr>
      <t xml:space="preserve"> This is the final part of the academic year 2024 - 25 grant, due in May 25. </t>
    </r>
  </si>
  <si>
    <r>
      <rPr>
        <b/>
        <sz val="10"/>
        <rFont val="Arial"/>
        <family val="2"/>
      </rPr>
      <t>Universal Infant Free School Meals (UIFSM)</t>
    </r>
    <r>
      <rPr>
        <sz val="10"/>
        <rFont val="Arial"/>
        <family val="2"/>
      </rPr>
      <t xml:space="preserve"> This is an academic year grant, therefore your financial year allocation will be made up of 2 amounts - the final estimated payment for the academic year 2024-25 and the first estimated payment for academic year 2025-26.  These figures are based on the latest allocations form the DfE. The final figures will be issued by the DfE in June, after which we will make an amendment to your cash advance allocation where necessary</t>
    </r>
  </si>
  <si>
    <r>
      <rPr>
        <b/>
        <sz val="10"/>
        <rFont val="Arial"/>
        <family val="2"/>
      </rPr>
      <t xml:space="preserve">GLA FSM - </t>
    </r>
    <r>
      <rPr>
        <sz val="10"/>
        <rFont val="Arial"/>
        <family val="2"/>
      </rPr>
      <t xml:space="preserve">April to August value is 'actual' and represents the 3rd installment (25%) of the 24-25 academic year funding. Sept to March is an estimate of the 1st instalment of the 25-26 Academic year. </t>
    </r>
  </si>
  <si>
    <r>
      <rPr>
        <b/>
        <sz val="10"/>
        <color rgb="FF000000"/>
        <rFont val="Arial"/>
        <family val="2"/>
      </rPr>
      <t xml:space="preserve">Post 16-19 Revenue Funding - </t>
    </r>
    <r>
      <rPr>
        <sz val="10"/>
        <color rgb="FF000000"/>
        <rFont val="Arial"/>
        <family val="2"/>
      </rPr>
      <t xml:space="preserve">Allocations for Apr 25-Jul 25 and Aug 25-Mar 26 , the first 4 months as communicated to us by the ESFA and 8 months are an estimate based on allocations in 2024/25 AY.  </t>
    </r>
  </si>
  <si>
    <r>
      <t xml:space="preserve">DFC - </t>
    </r>
    <r>
      <rPr>
        <sz val="10"/>
        <rFont val="Arial"/>
        <family val="2"/>
      </rPr>
      <t>This estimate is based on your 2024/25 DFC allocation. As soon as we receive the Devolved Formula Capital allocations for 2025/26 from the DfE we will communicate this to schools and make the necessary adjustment to your funding through the cash advance.</t>
    </r>
  </si>
  <si>
    <t>Individual School Budget 2025/26</t>
  </si>
  <si>
    <t>Select School</t>
  </si>
  <si>
    <t>Oak Wood School</t>
  </si>
  <si>
    <t>DfE no.</t>
  </si>
  <si>
    <t>select school</t>
  </si>
  <si>
    <t>Barnhill Community High</t>
  </si>
  <si>
    <t>Unit Value</t>
  </si>
  <si>
    <t>Units</t>
  </si>
  <si>
    <t>Total value</t>
  </si>
  <si>
    <t>Notes</t>
  </si>
  <si>
    <t>Belmore Nursery and Primary School</t>
  </si>
  <si>
    <t>AWPU Primary</t>
  </si>
  <si>
    <t>Bishop Ramsey CE School</t>
  </si>
  <si>
    <t>AWPU KS3</t>
  </si>
  <si>
    <t>Bishopshalt School</t>
  </si>
  <si>
    <t>AWPU KS4</t>
  </si>
  <si>
    <t>Botwell House Catholic Primary School</t>
  </si>
  <si>
    <t>AWPU Total</t>
  </si>
  <si>
    <t>Bourne Primary School</t>
  </si>
  <si>
    <t>Brookside Primary School</t>
  </si>
  <si>
    <t>Deprivation - Primary FSM</t>
  </si>
  <si>
    <t>BWI CE Primary School</t>
  </si>
  <si>
    <t>Deprivation - Secondary FSM</t>
  </si>
  <si>
    <t>Charville Primary School</t>
  </si>
  <si>
    <t>Deprivation - Primary FSM6</t>
  </si>
  <si>
    <t>Cherry Lane Primary</t>
  </si>
  <si>
    <t>Deprivation - Secondary FSM 6</t>
  </si>
  <si>
    <t>Colham Manor Primary School</t>
  </si>
  <si>
    <t>Deprivation - Primary IDACI Band F</t>
  </si>
  <si>
    <t>Coteford Infant School</t>
  </si>
  <si>
    <t>Deprivation - Primary IDACI Band E</t>
  </si>
  <si>
    <t>Coteford Junior School</t>
  </si>
  <si>
    <t>Deprivation - Primary IDACI Band D</t>
  </si>
  <si>
    <t>Cowley St. Laurence CE Primary</t>
  </si>
  <si>
    <t>Deprivation - Primary IDACI Band C</t>
  </si>
  <si>
    <t xml:space="preserve">Cranford Park Primary </t>
  </si>
  <si>
    <t>Deprivation - Primary IDACI Band B</t>
  </si>
  <si>
    <t>De Salis Studio College</t>
  </si>
  <si>
    <t>Deprivation - Primary IDACI Band A</t>
  </si>
  <si>
    <t>Deanesfield Primary School</t>
  </si>
  <si>
    <t>Deprivation - Secondary IDACI Band F</t>
  </si>
  <si>
    <t>Dr. Triplett's C.E. Primary</t>
  </si>
  <si>
    <t>Deprivation - Secondary IDACI Band E</t>
  </si>
  <si>
    <t>Field End Infant School</t>
  </si>
  <si>
    <t>Deprivation - Secondary IDACI Band D</t>
  </si>
  <si>
    <t>Field End Junior School</t>
  </si>
  <si>
    <t>Deprivation - Secondary IDACI Band C</t>
  </si>
  <si>
    <t>Frithwood Primary School</t>
  </si>
  <si>
    <t>Deprivation - Secondary IDACI Band B</t>
  </si>
  <si>
    <t>Glebe Primary School</t>
  </si>
  <si>
    <t>Deprivation - Secondary IDACI Band A</t>
  </si>
  <si>
    <t>Grange Park Infant School</t>
  </si>
  <si>
    <t>EAL Primary</t>
  </si>
  <si>
    <t>Grange Park Junior School</t>
  </si>
  <si>
    <t>EAL Secondary</t>
  </si>
  <si>
    <t>Guru Nanak Sikh Academy</t>
  </si>
  <si>
    <t>Prior Attainment Primary</t>
  </si>
  <si>
    <t>Harefield Infant School</t>
  </si>
  <si>
    <t>Prior Attainment Secondary</t>
  </si>
  <si>
    <t>Harefield Junior School</t>
  </si>
  <si>
    <t>Mobility Primary</t>
  </si>
  <si>
    <t>Harlington School</t>
  </si>
  <si>
    <t>Mobility Secondary</t>
  </si>
  <si>
    <t>Harlyn Primary School</t>
  </si>
  <si>
    <t>AEN Total</t>
  </si>
  <si>
    <t>Harmondsworth Primary School</t>
  </si>
  <si>
    <t>Haydon School</t>
  </si>
  <si>
    <t xml:space="preserve">Lump Sum Primary </t>
  </si>
  <si>
    <t>Hayes Park</t>
  </si>
  <si>
    <t>Lump Sum Secondary</t>
  </si>
  <si>
    <t>Heathrow Aviation Engineering UTC</t>
  </si>
  <si>
    <t>Rates</t>
  </si>
  <si>
    <t>Heathrow Primary School</t>
  </si>
  <si>
    <t>Adjustment to 24/25 rates</t>
  </si>
  <si>
    <t>Hermitage Primary School</t>
  </si>
  <si>
    <t>Split Site</t>
  </si>
  <si>
    <t>Hewens College</t>
  </si>
  <si>
    <t>PFI</t>
  </si>
  <si>
    <t>Hewens Primary School</t>
  </si>
  <si>
    <t>Adjustments to 24/25 budget shares</t>
  </si>
  <si>
    <t>Highfield Primary School</t>
  </si>
  <si>
    <t>School Factors Total</t>
  </si>
  <si>
    <t>Hillingdon Primary School</t>
  </si>
  <si>
    <t>Hillside Infant School</t>
  </si>
  <si>
    <t>Total</t>
  </si>
  <si>
    <t>Hillside Junior School</t>
  </si>
  <si>
    <t>Holy Trinity C. of E. Primary</t>
  </si>
  <si>
    <t>MFG Budget</t>
  </si>
  <si>
    <t>John Locke Academy</t>
  </si>
  <si>
    <t>MFG Unit Value 24/25</t>
  </si>
  <si>
    <t>Lady Bankes Junior School</t>
  </si>
  <si>
    <t>MFG Unit Value 23/24</t>
  </si>
  <si>
    <t>Lake Farm Park Academy</t>
  </si>
  <si>
    <t>MFG % Change</t>
  </si>
  <si>
    <t>Laurel Lane Primary School</t>
  </si>
  <si>
    <t>MFG Adjustment %</t>
  </si>
  <si>
    <t>Minet Infant School</t>
  </si>
  <si>
    <t xml:space="preserve">MFG Adjustment </t>
  </si>
  <si>
    <t>Minet Junior School</t>
  </si>
  <si>
    <t>Post MFG Budget</t>
  </si>
  <si>
    <t>Nanaksar Primary School</t>
  </si>
  <si>
    <t>Newnham Infant School</t>
  </si>
  <si>
    <t xml:space="preserve">Notional SEN </t>
  </si>
  <si>
    <t>Newnham Junior School</t>
  </si>
  <si>
    <t>Northwood School</t>
  </si>
  <si>
    <t>Education Functions-Pensions Admin</t>
  </si>
  <si>
    <t>Oak Farm School</t>
  </si>
  <si>
    <t>Education Functions-General</t>
  </si>
  <si>
    <t>Park Academy West London</t>
  </si>
  <si>
    <t>Final DSG Schools Block Budget</t>
  </si>
  <si>
    <t>Parkside Studio College</t>
  </si>
  <si>
    <t>Pinkwell Primary</t>
  </si>
  <si>
    <t>Queensmead School</t>
  </si>
  <si>
    <t xml:space="preserve">Other DSG funding </t>
  </si>
  <si>
    <t>Rabbsfarm Primary School</t>
  </si>
  <si>
    <t>Rosedale College</t>
  </si>
  <si>
    <t>EYSFF (Universal 15 Hrs)</t>
  </si>
  <si>
    <t>Rosedale Primary School</t>
  </si>
  <si>
    <t>EYSFF (Additional 15 Hrs)</t>
  </si>
  <si>
    <t>Ruislip Gardens Primary School</t>
  </si>
  <si>
    <t>Growth Contingency</t>
  </si>
  <si>
    <t>Ruislip High School</t>
  </si>
  <si>
    <t>Place Funding -SEN - SRP</t>
  </si>
  <si>
    <t>Ryefield Primary School</t>
  </si>
  <si>
    <t>Place Funding -SEN - DU or AC</t>
  </si>
  <si>
    <t>HN Top up - SEN (CONTROCC)</t>
  </si>
  <si>
    <t>Sacred Heart Catholic Primary School</t>
  </si>
  <si>
    <t>St Andrews CE Primary School</t>
  </si>
  <si>
    <t>St Bernadette Catholic Primary School</t>
  </si>
  <si>
    <t>St Martins CE Primary</t>
  </si>
  <si>
    <t>Pupil Premium (Deprivation)</t>
  </si>
  <si>
    <t>St Mary's Catholic Primary School</t>
  </si>
  <si>
    <t>Pupil Premium (Service Children)</t>
  </si>
  <si>
    <t>St Matthews Primary School</t>
  </si>
  <si>
    <t>Pupil Premium (Post LAC)</t>
  </si>
  <si>
    <t>St Swithun Wells Catholic Primary School</t>
  </si>
  <si>
    <t>PE and Sports Grant</t>
  </si>
  <si>
    <t>St.Catherine Catholic Primary School</t>
  </si>
  <si>
    <t>Universal Infant Free School Meals (UIFSM)</t>
  </si>
  <si>
    <t>Swakeleys School for Girls incorporating 6th Form @ Swakeleys</t>
  </si>
  <si>
    <t>GLA FSM Apr -Aug</t>
  </si>
  <si>
    <t>GLA FSM Sep - Mar</t>
  </si>
  <si>
    <t>Thre Breakspear School</t>
  </si>
  <si>
    <t>16-19 Revenue Funding (Apr 25-Jul 25)</t>
  </si>
  <si>
    <t>The Douay Martyrs School</t>
  </si>
  <si>
    <t>16-19 Revenue Funding (Aug 25-Mar 26)</t>
  </si>
  <si>
    <t>The Global Academy</t>
  </si>
  <si>
    <t>The Harefield Academy</t>
  </si>
  <si>
    <t>Devolved Formula Capital</t>
  </si>
  <si>
    <t>Uxbridge High School</t>
  </si>
  <si>
    <t>Vyners School</t>
  </si>
  <si>
    <t>Warrender Primary School</t>
  </si>
  <si>
    <t>West Drayton Academy</t>
  </si>
  <si>
    <t>Whitehall Infant School</t>
  </si>
  <si>
    <t>Whitehall Junior School</t>
  </si>
  <si>
    <t>Whiteheath Infant School</t>
  </si>
  <si>
    <t>Whiteheath Junior School</t>
  </si>
  <si>
    <t>William Byrd Primary Academy</t>
  </si>
  <si>
    <t>Wood End Park Community</t>
  </si>
  <si>
    <t>Yeading Infant School</t>
  </si>
  <si>
    <t>Yeading Junior School</t>
  </si>
  <si>
    <t>SCHOOLS BLOCK FORMULA 2025/26</t>
  </si>
  <si>
    <t>Non DSG grants - estimates maintained schools only</t>
  </si>
  <si>
    <t>DfE</t>
  </si>
  <si>
    <t>NOR</t>
  </si>
  <si>
    <t>NOR Primary</t>
  </si>
  <si>
    <t>NOR Secondary</t>
  </si>
  <si>
    <t>NOR KS3</t>
  </si>
  <si>
    <t>NOR KS4</t>
  </si>
  <si>
    <t>Deprivation - Primary FSM 6</t>
  </si>
  <si>
    <t>Deprivation (IDACI) Band F Primary</t>
  </si>
  <si>
    <t>Deprivation (IDACI) Band E Primary</t>
  </si>
  <si>
    <t>Deprivation (IDACI) Band D Primary</t>
  </si>
  <si>
    <t>Deprivation (IDACI) Band C Primary</t>
  </si>
  <si>
    <t>Deprivation (IDACI) Band B Primary</t>
  </si>
  <si>
    <t>Deprivation (IDACI) Band A Primary</t>
  </si>
  <si>
    <t>Deprivation (IDACI) Band F Secondary</t>
  </si>
  <si>
    <t>Deprivation (IDACI) Band E Secondary</t>
  </si>
  <si>
    <t>Deprivation (IDACI) Band D Secondary</t>
  </si>
  <si>
    <t>Deprivation (IDACI) Band C Secondary</t>
  </si>
  <si>
    <t>Deprivation (IDACI) Band B Secondary</t>
  </si>
  <si>
    <t>Deprivation (IDACI) Band A Secondary</t>
  </si>
  <si>
    <t>EAL 3 Primary</t>
  </si>
  <si>
    <t>EAL 3 Secondary</t>
  </si>
  <si>
    <t>Low Att Pri</t>
  </si>
  <si>
    <t>Low Att Sec</t>
  </si>
  <si>
    <t>Mobility Pri</t>
  </si>
  <si>
    <t>Mobility Sec</t>
  </si>
  <si>
    <t>Deprivation (FSM) Primary</t>
  </si>
  <si>
    <t>Deprivation (FSM) Secondary</t>
  </si>
  <si>
    <t>Deprivation (FSM Ever 6) Primary</t>
  </si>
  <si>
    <t>Deprivation (FSM Ever 6) Secondary</t>
  </si>
  <si>
    <t>EAL (P)</t>
  </si>
  <si>
    <t>EAL (S)</t>
  </si>
  <si>
    <t>Low Attainment (P)</t>
  </si>
  <si>
    <t>Low Attainment (S)</t>
  </si>
  <si>
    <t>Mobility (P)</t>
  </si>
  <si>
    <t>Mobility (S)</t>
  </si>
  <si>
    <t>Sparsity</t>
  </si>
  <si>
    <t>Lump Sum (P)</t>
  </si>
  <si>
    <t>Lump Sum (S)</t>
  </si>
  <si>
    <t>25/26 rates</t>
  </si>
  <si>
    <t>24/25 rates adjustment</t>
  </si>
  <si>
    <t>Split Sites</t>
  </si>
  <si>
    <t>Adjustment to 25/26 budget share</t>
  </si>
  <si>
    <t>School factors total</t>
  </si>
  <si>
    <t>Notional SEN allocation</t>
  </si>
  <si>
    <t>Total Allocation</t>
  </si>
  <si>
    <t>Pri Funding</t>
  </si>
  <si>
    <t>Sec Funding</t>
  </si>
  <si>
    <t>25/26 MFG Budget</t>
  </si>
  <si>
    <t>25/26 MFG Unit Value</t>
  </si>
  <si>
    <t>24/25 MFG Unit Value</t>
  </si>
  <si>
    <t>MFG % change</t>
  </si>
  <si>
    <t>MFG Value adjustment</t>
  </si>
  <si>
    <t>25/26 MFG Adjustment</t>
  </si>
  <si>
    <t xml:space="preserve">Education functions-Pensions Admin </t>
  </si>
  <si>
    <t>Education functions</t>
  </si>
  <si>
    <t>Post de-delegation budget</t>
  </si>
  <si>
    <t>EYSFF</t>
  </si>
  <si>
    <t>EYSFF (Additional)</t>
  </si>
  <si>
    <t>Growth Contingency Academies April-Aug 26</t>
  </si>
  <si>
    <t>Place Funding -SEN - DU / AC</t>
  </si>
  <si>
    <t xml:space="preserve">Top up -SEN </t>
  </si>
  <si>
    <t>Pupil Premium-Deprivation</t>
  </si>
  <si>
    <t>Pupil Premium - Service Children</t>
  </si>
  <si>
    <t>Pupil Premium - Post LAC</t>
  </si>
  <si>
    <t>PE and Sports</t>
  </si>
  <si>
    <t>GLA FSM Apr - Aug</t>
  </si>
  <si>
    <t>GLA FSM Sept - Mar</t>
  </si>
  <si>
    <t>UIFSM</t>
  </si>
  <si>
    <t>DFC</t>
  </si>
  <si>
    <t>ESFA Sixth form (Apr 24-Jul 25)</t>
  </si>
  <si>
    <t>ESFA Sixth form (Aug 24-Mar 25)</t>
  </si>
  <si>
    <t>Barnhill Community High School</t>
  </si>
  <si>
    <t>Belmore Primary Academy</t>
  </si>
  <si>
    <t>Bishop Ramsey Church of England School</t>
  </si>
  <si>
    <t>Bishop Winnington-Ingram CofE Primary School</t>
  </si>
  <si>
    <t xml:space="preserve"> £-   </t>
  </si>
  <si>
    <t>Charville Academy</t>
  </si>
  <si>
    <t>Cherry Lane Primary School</t>
  </si>
  <si>
    <t>Cowley St Laurence CofE Primary School</t>
  </si>
  <si>
    <t>Cranford Park Academy</t>
  </si>
  <si>
    <t>Dr Triplett's CofE Primary School</t>
  </si>
  <si>
    <t>Global Academy</t>
  </si>
  <si>
    <t>Grange Park Infant and Nursery School</t>
  </si>
  <si>
    <t>Harefield School</t>
  </si>
  <si>
    <t>Hayes Park School</t>
  </si>
  <si>
    <t>Holy Trinity CofE Primary School</t>
  </si>
  <si>
    <t>Lady Bankes Primary School</t>
  </si>
  <si>
    <t>Minet Infant and Nursery School</t>
  </si>
  <si>
    <t>Newnham Infant and Nursery School</t>
  </si>
  <si>
    <t>Oak Farm Primary School</t>
  </si>
  <si>
    <t>Pinkwell Primary School</t>
  </si>
  <si>
    <t>St Andrew's C of E Primary School</t>
  </si>
  <si>
    <t>St Catherine Catholic Primary School</t>
  </si>
  <si>
    <t>St Martin's Church of England Primary School</t>
  </si>
  <si>
    <t>St Matthew's CofE Primary School</t>
  </si>
  <si>
    <t>Swakeleys School for Girls</t>
  </si>
  <si>
    <t>The Breakspear School</t>
  </si>
  <si>
    <t>The Douay Martyrs Catholic School</t>
  </si>
  <si>
    <t>UTC Heathrow</t>
  </si>
  <si>
    <t>Whiteheath Infant &amp; Nursery School</t>
  </si>
  <si>
    <t>Wood End Park Academy</t>
  </si>
  <si>
    <t>Yeading Infant and Nursery School</t>
  </si>
  <si>
    <t>Contingency</t>
  </si>
  <si>
    <t xml:space="preserve">EYFF FUNDING RATES MODELING FOR FY 2025/26:  </t>
  </si>
  <si>
    <t>OPTION 1 - REDUCE ADDITIONAL NEEDS SUPPLIMENT BY 25%</t>
  </si>
  <si>
    <t>ref</t>
  </si>
  <si>
    <t>Provider</t>
  </si>
  <si>
    <t>Type</t>
  </si>
  <si>
    <t>Spring 24</t>
  </si>
  <si>
    <t>Summer 24</t>
  </si>
  <si>
    <t>Autumn 24</t>
  </si>
  <si>
    <t>Total Hours</t>
  </si>
  <si>
    <t>Base Rate</t>
  </si>
  <si>
    <t>Base rate funding</t>
  </si>
  <si>
    <t>IDACI score</t>
  </si>
  <si>
    <t>IDACI Weighting</t>
  </si>
  <si>
    <t>IDACI funding</t>
  </si>
  <si>
    <t>Deprivation per hour</t>
  </si>
  <si>
    <t>% SEND Support</t>
  </si>
  <si>
    <t>Notional SEND Weighting (SEN Hours)</t>
  </si>
  <si>
    <t>Hourly rate</t>
  </si>
  <si>
    <t xml:space="preserve">SEND Funding </t>
  </si>
  <si>
    <t>SEND Funding per hour</t>
  </si>
  <si>
    <t>Total hourly rate</t>
  </si>
  <si>
    <t>Total Budget Funding</t>
  </si>
  <si>
    <t>Belmore Primary</t>
  </si>
  <si>
    <t>School</t>
  </si>
  <si>
    <t>BWI CE Primary</t>
  </si>
  <si>
    <t>Botwell House RC Primary</t>
  </si>
  <si>
    <t>Brookside Primary</t>
  </si>
  <si>
    <t>Charville Primary</t>
  </si>
  <si>
    <t>Colham Manor Primary</t>
  </si>
  <si>
    <t>Coteford Infant</t>
  </si>
  <si>
    <t>Cowley St Laurence</t>
  </si>
  <si>
    <t>Cranford Park Primary</t>
  </si>
  <si>
    <t>Deanesfield Primary</t>
  </si>
  <si>
    <t>Dr Tripletts CE</t>
  </si>
  <si>
    <t>Field End Infant</t>
  </si>
  <si>
    <t>Frithwood Primary</t>
  </si>
  <si>
    <t>Glebe Primary</t>
  </si>
  <si>
    <t>Grange Park Infant</t>
  </si>
  <si>
    <t>Harefield Infant</t>
  </si>
  <si>
    <t>Harlyn Primary</t>
  </si>
  <si>
    <t>Harmondsworth Primary</t>
  </si>
  <si>
    <t>Hayes Park Primary</t>
  </si>
  <si>
    <t>Heathrow Primary</t>
  </si>
  <si>
    <t>Hermitage Primary</t>
  </si>
  <si>
    <t>Hewens Primary</t>
  </si>
  <si>
    <t>Highfield Primary</t>
  </si>
  <si>
    <t>Hillingdon Primary</t>
  </si>
  <si>
    <t>Hillside Infant</t>
  </si>
  <si>
    <t>Holy Trinity</t>
  </si>
  <si>
    <t>John Locke</t>
  </si>
  <si>
    <t>Lake Farm Park</t>
  </si>
  <si>
    <t>Laurel Lane Primary</t>
  </si>
  <si>
    <t>Mcmillan Nursery</t>
  </si>
  <si>
    <t>Minet Infant</t>
  </si>
  <si>
    <t>Newnham Infant</t>
  </si>
  <si>
    <t>Oak Farm Infant</t>
  </si>
  <si>
    <t>Rabbsfarm Primary</t>
  </si>
  <si>
    <t>Ruislip Gardens Primary</t>
  </si>
  <si>
    <t>Ryefield Primary</t>
  </si>
  <si>
    <t>Sacred Heart RC Primary</t>
  </si>
  <si>
    <t>St Andrew's CE Primary</t>
  </si>
  <si>
    <t>St Bernadette's RC Primary</t>
  </si>
  <si>
    <t>St Catherine's RC Primary</t>
  </si>
  <si>
    <t>St Martins</t>
  </si>
  <si>
    <t>St Mary's RC Primary</t>
  </si>
  <si>
    <t>St Matthew's CE Primary</t>
  </si>
  <si>
    <t>St Swithun Wells RC Primary</t>
  </si>
  <si>
    <t>Warrender Primary</t>
  </si>
  <si>
    <t>West Drayton Primary</t>
  </si>
  <si>
    <t>Whitehall Infant</t>
  </si>
  <si>
    <t>Whiteheath Infant</t>
  </si>
  <si>
    <t>William Byrd Primary</t>
  </si>
  <si>
    <t>Wood End Park</t>
  </si>
  <si>
    <t>Yeading Infant</t>
  </si>
  <si>
    <t>West london academy renamed - West Drayton and William Byrd moved</t>
  </si>
  <si>
    <t>notes updated but need checking</t>
  </si>
  <si>
    <t>Copy and pasted data from apt</t>
  </si>
  <si>
    <t>Copies awpu, idaci, attain, mob rates across</t>
  </si>
  <si>
    <t xml:space="preserve">Deprivation rate changed </t>
  </si>
  <si>
    <t>MFG values copied</t>
  </si>
  <si>
    <t>EYSFF three terms hours values pasted</t>
  </si>
  <si>
    <t>idaci avg copied</t>
  </si>
  <si>
    <t>name changes</t>
  </si>
  <si>
    <t>eal formula</t>
  </si>
  <si>
    <t>Belmore Primary School - Extended Hours (Schools - Extended Hours)</t>
  </si>
  <si>
    <t>Bishop Winnington-Ingram Church Of England Primary School - Extended Hours (Schools - Extended Hours)</t>
  </si>
  <si>
    <t>Botwell House Rc Primary School- Extended Hours (Schools - Extended Hours)</t>
  </si>
  <si>
    <t>Bourne Primary School - Extended Hours (Schools - Extended Hours)</t>
  </si>
  <si>
    <t>Charville Primary School - Extended Hours (Schools - Extended Hours)</t>
  </si>
  <si>
    <t>Cherry Lane Primary School - Extended Hours (Schools - Extended Hours)</t>
  </si>
  <si>
    <t>Colham Manor Primary School - Extended Hours (Schools - Extended Hours)</t>
  </si>
  <si>
    <t>Coteford Infant School - Extended Hours (Schools - Extended Hours)</t>
  </si>
  <si>
    <t>Cowley St. Laurence Primary Ce School - Extended Hours (Schools - Extended Hours)</t>
  </si>
  <si>
    <t>Cranford Park Academy - Extended Hours (Schools - Extended Hours)</t>
  </si>
  <si>
    <t>Deanesfield Primary School - Extended Hours (Schools - Extended Hours)</t>
  </si>
  <si>
    <t>Dr Triplett's C E Primary School - Extended Hours (Schools - Extended Hours)</t>
  </si>
  <si>
    <t>Field End Infant School - Extended Hours (Schools - Extended Hours)</t>
  </si>
  <si>
    <t>Frithwood Primary School - Extended Hours (Schools - Extended Hours)</t>
  </si>
  <si>
    <t>Glebe Primary School - Extended Hours (Schools - Extended Hours)</t>
  </si>
  <si>
    <t>Harefield Infant School - Extended Hours (Schools - Extended Hours)</t>
  </si>
  <si>
    <t>Harmondsworth Primary School - Extended Hours (Schools - Extended Hours)</t>
  </si>
  <si>
    <t>Hayes Park School - Extended Hours (Schools - Extended Hours)</t>
  </si>
  <si>
    <t>Heathrow Primary - Extended Hours (Schools - Extended Hours)</t>
  </si>
  <si>
    <t>Highfield School - Extended Hours (Schools - Extended Hours)</t>
  </si>
  <si>
    <t>Hillingdon Primary School - Extended Hours (Schools - Extended Hours)</t>
  </si>
  <si>
    <t>Hillside Infant School - Extended Hours (Schools - Extended Hours)</t>
  </si>
  <si>
    <t>Holy Trinity Cofe Primary School (Schools - Extended Hours)</t>
  </si>
  <si>
    <t>John Locke Academy - Extended Hours (Schools - Extended Hours)</t>
  </si>
  <si>
    <t>Lady Bankes Primary School - Extended Hours (Schools - Extended Hours)</t>
  </si>
  <si>
    <t>Lake Farm Park Academy- Extended Hours (Schools - Extended Hours)</t>
  </si>
  <si>
    <t>Minet Infant And Nursery School (Schools - Extended Hours)</t>
  </si>
  <si>
    <t>Newnham Junior &amp; Infant School - Extended Hours (Schools - Extended Hours)</t>
  </si>
  <si>
    <t>Oak Farm Infant School - Extended Hours (Schools - Extended Hours)</t>
  </si>
  <si>
    <t>Pinkwell Primary School - Extended Hours (Schools - Extended Hours)</t>
  </si>
  <si>
    <t>Ruislip Gardens Primary School (Extended Hours) (Schools - Extended Hours)</t>
  </si>
  <si>
    <t>Ryefield Primary School - Extended Hours (Schools - Extended Hours)</t>
  </si>
  <si>
    <t>Sacred Heart Catholic Primary School - Extended Hours (Schools - Extended Hours)</t>
  </si>
  <si>
    <t>St Andrews Primary - Extended Hours (Schools - Extended Hours)</t>
  </si>
  <si>
    <t>St Bernadette Catholic School - Extended School (Schools - Extended Hours)</t>
  </si>
  <si>
    <t>St Catherine Catholic Primary School - Extended Hours (Schools - Extended Hours)</t>
  </si>
  <si>
    <t>St Martin's School - Extended Hours (Schools - Extended Hours)</t>
  </si>
  <si>
    <t>St Mary's Catholic Primary School (Schools - Extended Hours)</t>
  </si>
  <si>
    <t>St Matthews C Of E Primary School (Schools - Extended Hours)</t>
  </si>
  <si>
    <t>St Swithun Wells Catholic Primary School (Extended Hours) (Schools - Extended Hours)</t>
  </si>
  <si>
    <t>The Breakspear School - Extended Hours (Schools - Extended Hours)</t>
  </si>
  <si>
    <t>The Pond - Laurel Lane (Schools - Extended Hours)</t>
  </si>
  <si>
    <t>West Drayton Academy (Schools - Extended Hours)</t>
  </si>
  <si>
    <t>Whitehall Infant School (Schools - Extended Hours)</t>
  </si>
  <si>
    <t>Whiteheath Infant School - Extended Hours (Schools - Extended Hours)</t>
  </si>
  <si>
    <t>William Byrd School - Extended Hours (Schools - Extended Hours)</t>
  </si>
  <si>
    <t>Yeading Infant And Nursery School (Schools - Extended Hours)</t>
  </si>
  <si>
    <t>Grange Park Infant And Nursery School (School)</t>
  </si>
  <si>
    <t>Hermitage Primary School (School)</t>
  </si>
  <si>
    <t>McMillan Early Childhood Centre (Daycare) (Day nursery)</t>
  </si>
  <si>
    <t>Rabbsfarm Primary School (School)</t>
  </si>
  <si>
    <t>Warrender Primary School (School)</t>
  </si>
  <si>
    <t>MCMILLAN NURSERY EYSFF  BUDGET 2025/26</t>
  </si>
  <si>
    <t>INDICATIVE</t>
  </si>
  <si>
    <t>Funding</t>
  </si>
  <si>
    <t>Hourly Rate</t>
  </si>
  <si>
    <t>Allocation</t>
  </si>
  <si>
    <t>(£ / hour)</t>
  </si>
  <si>
    <t>£</t>
  </si>
  <si>
    <t xml:space="preserve">Universal </t>
  </si>
  <si>
    <t xml:space="preserve">Additional </t>
  </si>
  <si>
    <t>Maintained Nursery School lump sum</t>
  </si>
  <si>
    <t>Base</t>
  </si>
  <si>
    <t xml:space="preserve">IDACI </t>
  </si>
  <si>
    <t>Additional Needs</t>
  </si>
  <si>
    <t>Total Hourly Rate</t>
  </si>
  <si>
    <t>Projected Universal Hours</t>
  </si>
  <si>
    <t>Projected Additional Hours</t>
  </si>
  <si>
    <t>EYSFF Funding of Projected Hours (Projected Hours × Total Hourly Rate)</t>
  </si>
  <si>
    <t>Total EYSFF Funding</t>
  </si>
  <si>
    <t>SEN TOP UP Funding</t>
  </si>
  <si>
    <t>EYSFF Calculator</t>
  </si>
  <si>
    <t>Universal Hours</t>
  </si>
  <si>
    <t>Term</t>
  </si>
  <si>
    <t>Summer</t>
  </si>
  <si>
    <t>Autumn</t>
  </si>
  <si>
    <t>Spring</t>
  </si>
  <si>
    <t>Budgeted Hours</t>
  </si>
  <si>
    <t>Budgeted no. of children</t>
  </si>
  <si>
    <t>Original Budget April '25</t>
  </si>
  <si>
    <t>Estimated no. of children</t>
  </si>
  <si>
    <t>Estimated no. of hours</t>
  </si>
  <si>
    <t>Estimated funding</t>
  </si>
  <si>
    <t>Adjustment to budget</t>
  </si>
  <si>
    <t>Additional Hours</t>
  </si>
  <si>
    <t>McMillan</t>
  </si>
  <si>
    <t>Oak Farm Infant School</t>
  </si>
  <si>
    <t>2 Year Old Funding</t>
  </si>
  <si>
    <t>Estimated no. of children  - 15hrs</t>
  </si>
  <si>
    <t>Estimated no. of children - Add 15hrs</t>
  </si>
  <si>
    <t>How to use the EYSFF Calculator</t>
  </si>
  <si>
    <t>1. Select your school from the drop-down box</t>
  </si>
  <si>
    <t>2. The tables will populate with the budgeted EYSFF hours and funding for your school</t>
  </si>
  <si>
    <t>3. If you wish to adjust the number of pupils for a term, enter the new figure in the box highlighted yellow for the term you wish to change</t>
  </si>
  <si>
    <t>4. This will automatically calculate the revised funding estimate and the adjustment needed for your budgeting purpose</t>
  </si>
  <si>
    <t>5. Please note, this is just for your budgeting purposes and will not impact on the EYSFF funding for your school which will be adjusted based on actual numbers as in previous years</t>
  </si>
  <si>
    <t>Lady Bankes Primary</t>
  </si>
  <si>
    <t>School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</si>
</sst>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0.0"/>
    <numFmt numFmtId="166" formatCode="#,##0_ ;\-#,##0\ "/>
    <numFmt numFmtId="167" formatCode="\$#,##0\ ;\(\$#,##0\)"/>
    <numFmt numFmtId="168" formatCode="_(&quot;£&quot;* #,##0.00_);_(&quot;£&quot;* \(#,##0.00\);_(&quot;£&quot;* &quot;-&quot;??_);_(@_)"/>
    <numFmt numFmtId="169" formatCode="&quot;£&quot;#,##0"/>
    <numFmt numFmtId="170" formatCode="_-&quot;£&quot;* #,##0_-;\-&quot;£&quot;* #,##0_-;_-&quot;£&quot;* &quot;-&quot;??_-;_-@_-"/>
    <numFmt numFmtId="171" formatCode="&quot;£&quot;#,##0.00"/>
    <numFmt numFmtId="172" formatCode="_-* #,##0_-;\-* #,##0_-;_-* &quot;-&quot;??_-;_-@_-"/>
    <numFmt numFmtId="173" formatCode="0.0%"/>
    <numFmt numFmtId="174" formatCode="_-&quot;£&quot;* #,##0.000_-;\-&quot;£&quot;* #,##0.000_-;_-&quot;£&quot;* &quot;-&quot;??_-;_-@_-"/>
    <numFmt numFmtId="175" formatCode="#,##0.00_ ;[Red]\-#,##0.00\ "/>
    <numFmt numFmtId="176" formatCode="_-&quot;£&quot;* #,##0.00_-;\-&quot;£&quot;* #,##0.00_-;_-&quot;£&quot;* &quot;-&quot;_-;_-@_-"/>
  </numFmts>
  <fonts count="74" x14ac:knownFonts="1">
    <font>
      <sz val="10"/>
      <name val="Arial"/>
    </font>
    <font>
      <sz val="10"/>
      <name val="Arial"/>
      <family val="2"/>
    </font>
    <font>
      <sz val="8"/>
      <name val="Arial"/>
      <family val="2"/>
    </font>
    <font>
      <sz val="10"/>
      <name val="Arial"/>
      <family val="2"/>
    </font>
    <font>
      <b/>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Arial"/>
      <family val="2"/>
    </font>
    <font>
      <b/>
      <u/>
      <sz val="14"/>
      <color indexed="24"/>
      <name val="Times New Roman"/>
      <family val="1"/>
    </font>
    <font>
      <b/>
      <sz val="10"/>
      <color indexed="1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24"/>
      <name val="Times New Roman"/>
      <family val="1"/>
    </font>
    <font>
      <b/>
      <sz val="10"/>
      <color indexed="24"/>
      <name val="Times New Roman"/>
      <family val="1"/>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u/>
      <sz val="10"/>
      <name val="Arial"/>
      <family val="2"/>
    </font>
    <font>
      <b/>
      <u/>
      <sz val="12"/>
      <name val="Arial"/>
      <family val="2"/>
    </font>
    <font>
      <b/>
      <sz val="12"/>
      <name val="Arial"/>
      <family val="2"/>
    </font>
    <font>
      <sz val="9"/>
      <name val="Arial"/>
      <family val="2"/>
    </font>
    <font>
      <b/>
      <u/>
      <sz val="14"/>
      <name val="Arial"/>
      <family val="2"/>
    </font>
    <font>
      <b/>
      <u/>
      <sz val="10"/>
      <name val="Arial"/>
      <family val="2"/>
    </font>
    <font>
      <sz val="8"/>
      <color indexed="72"/>
      <name val="MS Sans Serif"/>
      <family val="2"/>
    </font>
    <font>
      <sz val="11"/>
      <color theme="1"/>
      <name val="Calibri"/>
      <family val="2"/>
      <scheme val="minor"/>
    </font>
    <font>
      <sz val="12"/>
      <color theme="1"/>
      <name val="Arial"/>
      <family val="2"/>
    </font>
    <font>
      <b/>
      <sz val="10"/>
      <color theme="1"/>
      <name val="Arial"/>
      <family val="2"/>
    </font>
    <font>
      <sz val="10"/>
      <color theme="1"/>
      <name val="Arial"/>
      <family val="2"/>
    </font>
    <font>
      <sz val="11"/>
      <name val="Arial"/>
      <family val="2"/>
    </font>
    <font>
      <b/>
      <u/>
      <sz val="10"/>
      <color theme="1"/>
      <name val="Arial"/>
      <family val="2"/>
    </font>
    <font>
      <i/>
      <sz val="10"/>
      <color theme="1"/>
      <name val="Arial"/>
      <family val="2"/>
    </font>
    <font>
      <b/>
      <i/>
      <sz val="10"/>
      <color theme="1"/>
      <name val="Arial"/>
      <family val="2"/>
    </font>
    <font>
      <sz val="10"/>
      <color rgb="FF000000"/>
      <name val="Arial"/>
      <family val="2"/>
    </font>
    <font>
      <sz val="10"/>
      <name val="Arial"/>
      <family val="2"/>
    </font>
    <font>
      <b/>
      <sz val="11"/>
      <name val="Calibri"/>
      <family val="2"/>
      <scheme val="minor"/>
    </font>
    <font>
      <b/>
      <sz val="10"/>
      <color rgb="FF000000"/>
      <name val="Arial"/>
      <family val="2"/>
    </font>
    <font>
      <sz val="10"/>
      <color rgb="FFFF0000"/>
      <name val="Arial"/>
      <family val="2"/>
    </font>
    <font>
      <b/>
      <sz val="10"/>
      <color rgb="FFFF0000"/>
      <name val="Arial"/>
      <family val="2"/>
    </font>
    <font>
      <b/>
      <sz val="20"/>
      <name val="Arial"/>
      <family val="2"/>
    </font>
    <font>
      <b/>
      <u/>
      <sz val="16"/>
      <name val="Arial"/>
      <family val="2"/>
    </font>
    <font>
      <b/>
      <sz val="14"/>
      <color theme="1"/>
      <name val="Cambria"/>
      <family val="2"/>
      <scheme val="major"/>
    </font>
    <font>
      <b/>
      <sz val="16"/>
      <color theme="1"/>
      <name val="Calibri"/>
      <family val="2"/>
    </font>
    <font>
      <sz val="11"/>
      <color theme="1"/>
      <name val="Cambria"/>
      <family val="2"/>
      <scheme val="major"/>
    </font>
    <font>
      <b/>
      <sz val="11"/>
      <color theme="1"/>
      <name val="Cambria"/>
      <family val="2"/>
      <scheme val="major"/>
    </font>
    <font>
      <i/>
      <sz val="11"/>
      <color theme="1"/>
      <name val="Cambria"/>
      <family val="2"/>
      <scheme val="major"/>
    </font>
    <font>
      <b/>
      <u/>
      <sz val="12"/>
      <color rgb="FFFF0000"/>
      <name val="Cambria"/>
      <family val="2"/>
      <scheme val="major"/>
    </font>
    <font>
      <sz val="11"/>
      <color theme="1"/>
      <name val="Calibri"/>
      <family val="2"/>
    </font>
    <font>
      <b/>
      <sz val="11"/>
      <color rgb="FFFF0000"/>
      <name val="Cambria"/>
      <family val="2"/>
      <scheme val="major"/>
    </font>
    <font>
      <b/>
      <sz val="11"/>
      <color theme="1"/>
      <name val="Calibri"/>
      <family val="2"/>
    </font>
    <font>
      <b/>
      <u/>
      <sz val="11"/>
      <color theme="1"/>
      <name val="Cambria"/>
      <family val="2"/>
      <scheme val="major"/>
    </font>
    <font>
      <b/>
      <sz val="11"/>
      <name val="Calibri"/>
      <family val="2"/>
    </font>
    <font>
      <i/>
      <sz val="11"/>
      <color theme="1"/>
      <name val="Calibri"/>
      <family val="2"/>
    </font>
    <font>
      <sz val="11"/>
      <name val="Calibri"/>
      <family val="2"/>
    </font>
    <font>
      <b/>
      <sz val="11"/>
      <color theme="0"/>
      <name val="Calibri"/>
      <family val="2"/>
    </font>
    <font>
      <sz val="10"/>
      <name val="Calibri"/>
      <family val="2"/>
    </font>
    <font>
      <sz val="11"/>
      <color rgb="FF333333"/>
      <name val="Calibri"/>
      <family val="2"/>
    </font>
    <font>
      <sz val="10"/>
      <color rgb="FFFF0000"/>
      <name val="Calibri"/>
      <family val="2"/>
    </font>
    <font>
      <sz val="11"/>
      <color theme="1"/>
      <name val="Cambria"/>
      <family val="2"/>
      <scheme val="major"/>
    </font>
    <font>
      <sz val="12"/>
      <color rgb="FF00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gray0625">
        <fgColor indexed="22"/>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7" tint="0.39994506668294322"/>
        <bgColor indexed="64"/>
      </patternFill>
    </fill>
    <fill>
      <patternFill patternType="solid">
        <fgColor rgb="FFCCFFCC"/>
        <bgColor indexed="64"/>
      </patternFill>
    </fill>
    <fill>
      <patternFill patternType="solid">
        <fgColor rgb="FFFFFFFF"/>
        <bgColor rgb="FFFFFFFF"/>
      </patternFill>
    </fill>
    <fill>
      <patternFill patternType="solid">
        <fgColor theme="3" tint="9.9978637043366805E-2"/>
        <bgColor indexed="64"/>
      </patternFill>
    </fill>
    <fill>
      <patternFill patternType="solid">
        <fgColor theme="0" tint="-0.14999847407452621"/>
        <bgColor indexed="64"/>
      </patternFill>
    </fill>
    <fill>
      <patternFill patternType="solid">
        <fgColor theme="3" tint="0.89999084444715716"/>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23"/>
      </top>
      <bottom style="medium">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ck">
        <color indexed="64"/>
      </top>
      <bottom style="double">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ck">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style="double">
        <color indexed="64"/>
      </bottom>
      <diagonal/>
    </border>
    <border>
      <left style="thick">
        <color indexed="64"/>
      </left>
      <right style="thick">
        <color indexed="64"/>
      </right>
      <top style="thin">
        <color indexed="64"/>
      </top>
      <bottom/>
      <diagonal/>
    </border>
    <border>
      <left/>
      <right/>
      <top style="thin">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s>
  <cellStyleXfs count="99">
    <xf numFmtId="0" fontId="0" fillId="0" borderId="0"/>
    <xf numFmtId="0" fontId="1" fillId="0" borderId="0"/>
    <xf numFmtId="0" fontId="1"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3" fontId="11" fillId="0" borderId="0" applyFont="0" applyFill="0" applyBorder="0" applyAlignment="0" applyProtection="0"/>
    <xf numFmtId="0" fontId="12" fillId="0" borderId="0" applyNumberFormat="0" applyFill="0" applyBorder="0" applyAlignment="0" applyProtection="0"/>
    <xf numFmtId="8" fontId="13" fillId="0" borderId="3" applyFont="0" applyBorder="0" applyAlignment="0">
      <alignment horizontal="center"/>
    </xf>
    <xf numFmtId="44"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39" fillId="0" borderId="0" applyFont="0" applyFill="0" applyBorder="0" applyAlignment="0" applyProtection="0"/>
    <xf numFmtId="168" fontId="1" fillId="0" borderId="0" applyFont="0" applyFill="0" applyBorder="0" applyAlignment="0" applyProtection="0"/>
    <xf numFmtId="167" fontId="11" fillId="0" borderId="0" applyFont="0" applyFill="0" applyBorder="0" applyAlignment="0" applyProtection="0"/>
    <xf numFmtId="0" fontId="11" fillId="0" borderId="0" applyFont="0" applyFill="0" applyBorder="0" applyAlignment="0" applyProtection="0"/>
    <xf numFmtId="0" fontId="14" fillId="0" borderId="0" applyNumberFormat="0" applyFill="0" applyBorder="0" applyAlignment="0" applyProtection="0"/>
    <xf numFmtId="2" fontId="11" fillId="0" borderId="0" applyFont="0" applyFill="0" applyBorder="0" applyAlignment="0" applyProtection="0"/>
    <xf numFmtId="0" fontId="1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5" fillId="0" borderId="0">
      <alignment horizontal="left" vertical="center"/>
    </xf>
    <xf numFmtId="0" fontId="20" fillId="0" borderId="7" applyNumberFormat="0" applyFill="0" applyAlignment="0" applyProtection="0"/>
    <xf numFmtId="0" fontId="21" fillId="22" borderId="0" applyNumberFormat="0" applyBorder="0" applyAlignment="0" applyProtection="0"/>
    <xf numFmtId="0" fontId="6" fillId="0" borderId="0"/>
    <xf numFmtId="0" fontId="6" fillId="0" borderId="0"/>
    <xf numFmtId="0" fontId="1" fillId="0" borderId="0"/>
    <xf numFmtId="0" fontId="1" fillId="0" borderId="0"/>
    <xf numFmtId="0" fontId="38" fillId="0" borderId="0" applyAlignment="0">
      <alignment vertical="top" wrapText="1"/>
      <protection locked="0"/>
    </xf>
    <xf numFmtId="0" fontId="3" fillId="0" borderId="0"/>
    <xf numFmtId="0" fontId="1" fillId="0" borderId="0"/>
    <xf numFmtId="0" fontId="40" fillId="0" borderId="0"/>
    <xf numFmtId="0" fontId="39" fillId="0" borderId="0"/>
    <xf numFmtId="0" fontId="39" fillId="0" borderId="0"/>
    <xf numFmtId="0" fontId="1" fillId="0" borderId="0"/>
    <xf numFmtId="0" fontId="1" fillId="0" borderId="0"/>
    <xf numFmtId="0" fontId="39" fillId="0" borderId="0"/>
    <xf numFmtId="0" fontId="22" fillId="0" borderId="0">
      <alignment horizontal="right"/>
    </xf>
    <xf numFmtId="3" fontId="22" fillId="0" borderId="8"/>
    <xf numFmtId="3" fontId="22" fillId="0" borderId="9"/>
    <xf numFmtId="0" fontId="23" fillId="0" borderId="0">
      <alignment horizontal="left"/>
    </xf>
    <xf numFmtId="3" fontId="22" fillId="0" borderId="10">
      <alignment horizontal="right"/>
    </xf>
    <xf numFmtId="3" fontId="22" fillId="0" borderId="11"/>
    <xf numFmtId="0" fontId="1" fillId="23" borderId="12" applyNumberFormat="0" applyFont="0" applyAlignment="0" applyProtection="0"/>
    <xf numFmtId="3" fontId="5" fillId="0" borderId="0">
      <alignment horizontal="right"/>
    </xf>
    <xf numFmtId="0" fontId="24" fillId="20" borderId="13" applyNumberFormat="0" applyAlignment="0" applyProtection="0"/>
    <xf numFmtId="40" fontId="25" fillId="24" borderId="0">
      <alignment horizontal="right"/>
    </xf>
    <xf numFmtId="0" fontId="26" fillId="24" borderId="0">
      <alignment horizontal="right"/>
    </xf>
    <xf numFmtId="0" fontId="27" fillId="24" borderId="14"/>
    <xf numFmtId="0" fontId="27" fillId="0" borderId="0" applyBorder="0">
      <alignment horizontal="centerContinuous"/>
    </xf>
    <xf numFmtId="0" fontId="28" fillId="0" borderId="0" applyBorder="0">
      <alignment horizontal="centerContinuous"/>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 fontId="23" fillId="25" borderId="15">
      <alignment horizontal="right"/>
    </xf>
    <xf numFmtId="3" fontId="23" fillId="25" borderId="8"/>
    <xf numFmtId="3" fontId="22" fillId="25" borderId="0">
      <alignment horizontal="right"/>
    </xf>
    <xf numFmtId="3" fontId="22" fillId="25" borderId="16"/>
    <xf numFmtId="0" fontId="23" fillId="25" borderId="0">
      <alignment horizontal="right"/>
    </xf>
    <xf numFmtId="3" fontId="23" fillId="25" borderId="17"/>
    <xf numFmtId="0" fontId="29" fillId="0" borderId="0" applyNumberFormat="0" applyFill="0" applyBorder="0" applyAlignment="0" applyProtection="0"/>
    <xf numFmtId="0" fontId="30" fillId="0" borderId="18" applyNumberFormat="0" applyFill="0" applyAlignment="0" applyProtection="0"/>
    <xf numFmtId="0" fontId="31" fillId="0" borderId="0" applyNumberFormat="0" applyFill="0" applyBorder="0" applyAlignment="0" applyProtection="0"/>
    <xf numFmtId="43" fontId="48" fillId="0" borderId="0" applyFont="0" applyFill="0" applyBorder="0" applyAlignment="0" applyProtection="0"/>
  </cellStyleXfs>
  <cellXfs count="459">
    <xf numFmtId="0" fontId="0" fillId="0" borderId="0" xfId="0"/>
    <xf numFmtId="44" fontId="0" fillId="0" borderId="0" xfId="39" applyFont="1"/>
    <xf numFmtId="44" fontId="0" fillId="0" borderId="0" xfId="0" applyNumberFormat="1"/>
    <xf numFmtId="0" fontId="4" fillId="0" borderId="0" xfId="0" applyFont="1"/>
    <xf numFmtId="2" fontId="0" fillId="0" borderId="0" xfId="0" applyNumberFormat="1"/>
    <xf numFmtId="0" fontId="4" fillId="0" borderId="0" xfId="0" applyFont="1" applyAlignment="1">
      <alignment wrapText="1"/>
    </xf>
    <xf numFmtId="1" fontId="0" fillId="0" borderId="0" xfId="0" applyNumberFormat="1"/>
    <xf numFmtId="0" fontId="4" fillId="0" borderId="20" xfId="0" applyFont="1" applyBorder="1"/>
    <xf numFmtId="44" fontId="0" fillId="0" borderId="21" xfId="39" applyFont="1" applyBorder="1"/>
    <xf numFmtId="0" fontId="0" fillId="0" borderId="22" xfId="0" applyBorder="1"/>
    <xf numFmtId="44" fontId="0" fillId="0" borderId="22" xfId="0" applyNumberFormat="1" applyBorder="1"/>
    <xf numFmtId="44" fontId="0" fillId="0" borderId="22" xfId="39" applyFont="1" applyBorder="1"/>
    <xf numFmtId="44" fontId="0" fillId="0" borderId="23" xfId="39" applyFont="1" applyBorder="1"/>
    <xf numFmtId="0" fontId="1" fillId="0" borderId="0" xfId="1"/>
    <xf numFmtId="0" fontId="33" fillId="0" borderId="0" xfId="1" applyFont="1" applyAlignment="1">
      <alignment horizontal="left"/>
    </xf>
    <xf numFmtId="0" fontId="4" fillId="0" borderId="0" xfId="1" applyFont="1"/>
    <xf numFmtId="0" fontId="32" fillId="0" borderId="0" xfId="1" applyFont="1"/>
    <xf numFmtId="44" fontId="1" fillId="0" borderId="0" xfId="39"/>
    <xf numFmtId="166" fontId="1" fillId="26" borderId="19" xfId="39" applyNumberFormat="1" applyFill="1" applyBorder="1"/>
    <xf numFmtId="0" fontId="4" fillId="0" borderId="0" xfId="1" applyFont="1" applyAlignment="1">
      <alignment horizontal="left"/>
    </xf>
    <xf numFmtId="44" fontId="34" fillId="0" borderId="19" xfId="39" applyFont="1" applyBorder="1"/>
    <xf numFmtId="0" fontId="4" fillId="0" borderId="34" xfId="1" applyFont="1" applyBorder="1"/>
    <xf numFmtId="0" fontId="4" fillId="0" borderId="35" xfId="1" applyFont="1" applyBorder="1"/>
    <xf numFmtId="0" fontId="0" fillId="0" borderId="0" xfId="0" applyAlignment="1">
      <alignment vertical="top"/>
    </xf>
    <xf numFmtId="0" fontId="4" fillId="0" borderId="0" xfId="0" applyFont="1" applyAlignment="1">
      <alignment vertical="top"/>
    </xf>
    <xf numFmtId="0" fontId="4" fillId="0" borderId="37" xfId="0" applyFont="1" applyBorder="1" applyAlignment="1">
      <alignment vertical="top"/>
    </xf>
    <xf numFmtId="0" fontId="4" fillId="0" borderId="38" xfId="0" applyFont="1" applyBorder="1" applyAlignment="1">
      <alignment vertical="top" wrapText="1"/>
    </xf>
    <xf numFmtId="0" fontId="4" fillId="0" borderId="39" xfId="0" applyFont="1" applyBorder="1" applyAlignment="1">
      <alignment vertical="top"/>
    </xf>
    <xf numFmtId="1" fontId="36" fillId="0" borderId="0" xfId="0" applyNumberFormat="1" applyFont="1"/>
    <xf numFmtId="0" fontId="36" fillId="0" borderId="0" xfId="1" applyFont="1" applyAlignment="1">
      <alignment horizontal="left"/>
    </xf>
    <xf numFmtId="0" fontId="34" fillId="0" borderId="0" xfId="0" applyFont="1" applyAlignment="1">
      <alignment vertical="top"/>
    </xf>
    <xf numFmtId="0" fontId="37" fillId="0" borderId="0" xfId="0" applyFont="1"/>
    <xf numFmtId="0" fontId="1" fillId="0" borderId="0" xfId="0" applyFont="1"/>
    <xf numFmtId="0" fontId="0" fillId="0" borderId="14" xfId="0" applyBorder="1"/>
    <xf numFmtId="0" fontId="0" fillId="0" borderId="43" xfId="0" applyBorder="1"/>
    <xf numFmtId="0" fontId="4" fillId="0" borderId="44" xfId="0" applyFont="1" applyBorder="1" applyAlignment="1">
      <alignment vertical="top"/>
    </xf>
    <xf numFmtId="44" fontId="0" fillId="0" borderId="43" xfId="39" applyFont="1" applyBorder="1"/>
    <xf numFmtId="0" fontId="0" fillId="0" borderId="49" xfId="0" applyBorder="1"/>
    <xf numFmtId="44" fontId="0" fillId="0" borderId="24" xfId="86" applyNumberFormat="1" applyFont="1" applyBorder="1"/>
    <xf numFmtId="44" fontId="0" fillId="0" borderId="17" xfId="39" applyFont="1" applyBorder="1"/>
    <xf numFmtId="0" fontId="0" fillId="0" borderId="0" xfId="0" applyAlignment="1">
      <alignment horizontal="center"/>
    </xf>
    <xf numFmtId="0" fontId="1" fillId="0" borderId="0" xfId="0" applyFont="1" applyAlignment="1">
      <alignment vertical="top"/>
    </xf>
    <xf numFmtId="0" fontId="4" fillId="0" borderId="34" xfId="0" applyFont="1" applyBorder="1" applyAlignment="1">
      <alignment vertical="top"/>
    </xf>
    <xf numFmtId="0" fontId="4" fillId="0" borderId="36" xfId="0" applyFont="1" applyBorder="1" applyAlignment="1">
      <alignment vertical="top" wrapText="1"/>
    </xf>
    <xf numFmtId="0" fontId="0" fillId="0" borderId="36" xfId="0" applyBorder="1" applyAlignment="1">
      <alignment vertical="top"/>
    </xf>
    <xf numFmtId="44" fontId="0" fillId="0" borderId="24" xfId="39" applyFont="1" applyBorder="1"/>
    <xf numFmtId="44" fontId="0" fillId="0" borderId="48" xfId="39" applyFont="1" applyBorder="1"/>
    <xf numFmtId="44" fontId="0" fillId="0" borderId="14" xfId="39" applyFont="1" applyBorder="1"/>
    <xf numFmtId="0" fontId="0" fillId="0" borderId="48" xfId="0" applyBorder="1"/>
    <xf numFmtId="0" fontId="4" fillId="0" borderId="53" xfId="0" applyFont="1" applyBorder="1" applyAlignment="1">
      <alignment vertical="top"/>
    </xf>
    <xf numFmtId="0" fontId="4" fillId="0" borderId="33" xfId="0" applyFont="1" applyBorder="1" applyAlignment="1">
      <alignment vertical="top"/>
    </xf>
    <xf numFmtId="0" fontId="0" fillId="0" borderId="32" xfId="0" applyBorder="1" applyAlignment="1">
      <alignment vertical="top"/>
    </xf>
    <xf numFmtId="0" fontId="4" fillId="0" borderId="37" xfId="0" applyFont="1" applyBorder="1" applyAlignment="1">
      <alignment horizontal="right" vertical="top"/>
    </xf>
    <xf numFmtId="169" fontId="1" fillId="31" borderId="19" xfId="1" applyNumberFormat="1" applyFill="1" applyBorder="1"/>
    <xf numFmtId="2" fontId="4" fillId="29" borderId="33" xfId="0" applyNumberFormat="1" applyFont="1" applyFill="1" applyBorder="1" applyAlignment="1">
      <alignment wrapText="1"/>
    </xf>
    <xf numFmtId="2" fontId="0" fillId="0" borderId="0" xfId="0" applyNumberFormat="1" applyAlignment="1">
      <alignment horizontal="center" vertical="center"/>
    </xf>
    <xf numFmtId="8" fontId="4" fillId="28" borderId="27" xfId="39" applyNumberFormat="1" applyFont="1" applyFill="1" applyBorder="1" applyAlignment="1">
      <alignment horizontal="center" vertical="center"/>
    </xf>
    <xf numFmtId="44" fontId="4" fillId="28" borderId="28" xfId="39" applyFont="1" applyFill="1" applyBorder="1" applyAlignment="1">
      <alignment horizontal="center" vertical="center"/>
    </xf>
    <xf numFmtId="44" fontId="0" fillId="28" borderId="28" xfId="39" applyFont="1" applyFill="1" applyBorder="1" applyAlignment="1">
      <alignment horizontal="center" vertical="center"/>
    </xf>
    <xf numFmtId="0" fontId="0" fillId="28" borderId="28" xfId="0" applyFill="1" applyBorder="1" applyAlignment="1">
      <alignment horizontal="center" vertical="center"/>
    </xf>
    <xf numFmtId="44" fontId="0" fillId="28" borderId="28" xfId="0" applyNumberFormat="1" applyFill="1" applyBorder="1" applyAlignment="1">
      <alignment horizontal="center" vertical="center"/>
    </xf>
    <xf numFmtId="10" fontId="0" fillId="28" borderId="28" xfId="86" applyNumberFormat="1" applyFont="1" applyFill="1" applyBorder="1" applyAlignment="1">
      <alignment horizontal="center" vertical="center"/>
    </xf>
    <xf numFmtId="44" fontId="4" fillId="28" borderId="26" xfId="39" applyFont="1" applyFill="1" applyBorder="1" applyAlignment="1">
      <alignment horizontal="center" vertical="center" wrapText="1"/>
    </xf>
    <xf numFmtId="44" fontId="1" fillId="0" borderId="24" xfId="39" applyFont="1" applyBorder="1" applyAlignment="1">
      <alignment horizontal="center" vertical="center"/>
    </xf>
    <xf numFmtId="44" fontId="0" fillId="0" borderId="24" xfId="39" applyFont="1" applyBorder="1" applyAlignment="1">
      <alignment horizontal="center" vertical="center"/>
    </xf>
    <xf numFmtId="44" fontId="1" fillId="0" borderId="55" xfId="39" applyFont="1" applyBorder="1" applyAlignment="1">
      <alignment horizontal="center" vertical="center"/>
    </xf>
    <xf numFmtId="44" fontId="0" fillId="0" borderId="55" xfId="39" applyFont="1" applyBorder="1" applyAlignment="1">
      <alignment horizontal="center" vertical="center"/>
    </xf>
    <xf numFmtId="0" fontId="0" fillId="0" borderId="0" xfId="0" applyAlignment="1">
      <alignment horizontal="center" vertical="center"/>
    </xf>
    <xf numFmtId="44" fontId="0" fillId="0" borderId="0" xfId="39" applyFont="1" applyAlignment="1">
      <alignment horizontal="center" vertical="center"/>
    </xf>
    <xf numFmtId="10" fontId="0" fillId="0" borderId="0" xfId="86" applyNumberFormat="1" applyFont="1" applyAlignment="1">
      <alignment horizontal="center" vertical="center"/>
    </xf>
    <xf numFmtId="0" fontId="1" fillId="0" borderId="0" xfId="0" applyFont="1" applyAlignment="1">
      <alignment horizontal="center" vertical="center"/>
    </xf>
    <xf numFmtId="44" fontId="0" fillId="0" borderId="0" xfId="0" applyNumberFormat="1" applyAlignment="1">
      <alignment horizontal="center" vertical="center"/>
    </xf>
    <xf numFmtId="10" fontId="2" fillId="0" borderId="0" xfId="86" applyNumberFormat="1" applyFont="1" applyFill="1" applyAlignment="1" applyProtection="1">
      <alignment horizontal="center" vertical="center"/>
    </xf>
    <xf numFmtId="44" fontId="1" fillId="0" borderId="54" xfId="39" applyFont="1" applyBorder="1" applyAlignment="1">
      <alignment horizontal="center" vertical="center"/>
    </xf>
    <xf numFmtId="44" fontId="0" fillId="0" borderId="54" xfId="39" applyFont="1" applyBorder="1" applyAlignment="1">
      <alignment horizontal="center" vertical="center"/>
    </xf>
    <xf numFmtId="1" fontId="1" fillId="0" borderId="0" xfId="0" applyNumberFormat="1" applyFont="1"/>
    <xf numFmtId="1" fontId="1" fillId="0" borderId="0" xfId="0" applyNumberFormat="1" applyFont="1" applyAlignment="1">
      <alignment horizontal="center" vertical="center"/>
    </xf>
    <xf numFmtId="2" fontId="1" fillId="0" borderId="0" xfId="0" applyNumberFormat="1" applyFont="1"/>
    <xf numFmtId="2" fontId="1" fillId="0" borderId="0" xfId="0" applyNumberFormat="1" applyFont="1" applyAlignment="1">
      <alignment horizontal="center" vertical="center"/>
    </xf>
    <xf numFmtId="165" fontId="1" fillId="0" borderId="0" xfId="0" applyNumberFormat="1" applyFont="1" applyAlignment="1">
      <alignment horizontal="center" vertical="center"/>
    </xf>
    <xf numFmtId="0" fontId="44" fillId="0" borderId="0" xfId="0" applyFont="1"/>
    <xf numFmtId="0" fontId="1" fillId="0" borderId="0" xfId="0" applyFont="1" applyAlignment="1">
      <alignment horizontal="center"/>
    </xf>
    <xf numFmtId="0" fontId="45" fillId="0" borderId="0" xfId="0" applyFont="1" applyAlignment="1">
      <alignment horizontal="center"/>
    </xf>
    <xf numFmtId="0" fontId="1" fillId="0" borderId="24" xfId="0" applyFont="1" applyBorder="1" applyAlignment="1">
      <alignment horizontal="center"/>
    </xf>
    <xf numFmtId="0" fontId="42" fillId="0" borderId="24" xfId="0" applyFont="1" applyBorder="1" applyAlignment="1">
      <alignment horizontal="center"/>
    </xf>
    <xf numFmtId="3" fontId="42" fillId="0" borderId="24" xfId="0" applyNumberFormat="1" applyFont="1" applyBorder="1" applyAlignment="1">
      <alignment horizontal="center"/>
    </xf>
    <xf numFmtId="8" fontId="42" fillId="0" borderId="24" xfId="0" applyNumberFormat="1" applyFont="1" applyBorder="1" applyAlignment="1">
      <alignment horizontal="center"/>
    </xf>
    <xf numFmtId="8" fontId="1" fillId="0" borderId="24" xfId="0" applyNumberFormat="1" applyFont="1" applyBorder="1" applyAlignment="1">
      <alignment horizontal="center"/>
    </xf>
    <xf numFmtId="44" fontId="42" fillId="0" borderId="24" xfId="0" applyNumberFormat="1" applyFont="1" applyBorder="1" applyAlignment="1">
      <alignment horizontal="center"/>
    </xf>
    <xf numFmtId="0" fontId="46" fillId="0" borderId="0" xfId="0" applyFont="1"/>
    <xf numFmtId="3" fontId="1" fillId="0" borderId="24" xfId="0" applyNumberFormat="1" applyFont="1" applyBorder="1" applyAlignment="1">
      <alignment horizontal="center"/>
    </xf>
    <xf numFmtId="0" fontId="42" fillId="0" borderId="21" xfId="0" applyFont="1" applyBorder="1" applyAlignment="1">
      <alignment horizontal="center"/>
    </xf>
    <xf numFmtId="3" fontId="42" fillId="0" borderId="23" xfId="0" applyNumberFormat="1" applyFont="1" applyBorder="1" applyAlignment="1">
      <alignment horizontal="center"/>
    </xf>
    <xf numFmtId="3" fontId="42" fillId="31" borderId="19" xfId="0" applyNumberFormat="1" applyFont="1" applyFill="1" applyBorder="1" applyAlignment="1">
      <alignment horizontal="center"/>
    </xf>
    <xf numFmtId="0" fontId="1" fillId="0" borderId="21" xfId="0" applyFont="1" applyBorder="1" applyAlignment="1">
      <alignment horizontal="center"/>
    </xf>
    <xf numFmtId="3" fontId="1" fillId="31" borderId="19" xfId="0" applyNumberFormat="1" applyFont="1" applyFill="1" applyBorder="1" applyAlignment="1">
      <alignment horizontal="center"/>
    </xf>
    <xf numFmtId="0" fontId="4" fillId="0" borderId="44" xfId="0" applyFont="1" applyBorder="1"/>
    <xf numFmtId="0" fontId="4" fillId="0" borderId="45" xfId="0" applyFont="1" applyBorder="1" applyAlignment="1">
      <alignment horizontal="center"/>
    </xf>
    <xf numFmtId="0" fontId="4" fillId="0" borderId="38" xfId="0" applyFont="1" applyBorder="1" applyAlignment="1">
      <alignment horizontal="center"/>
    </xf>
    <xf numFmtId="0" fontId="4" fillId="0" borderId="37" xfId="0" applyFont="1" applyBorder="1"/>
    <xf numFmtId="3" fontId="4" fillId="0" borderId="38" xfId="0" applyNumberFormat="1" applyFont="1" applyBorder="1" applyAlignment="1">
      <alignment horizontal="center"/>
    </xf>
    <xf numFmtId="0" fontId="4" fillId="0" borderId="56" xfId="0" applyFont="1" applyBorder="1"/>
    <xf numFmtId="0" fontId="4" fillId="0" borderId="57" xfId="0" applyFont="1" applyBorder="1" applyAlignment="1">
      <alignment horizontal="center"/>
    </xf>
    <xf numFmtId="44" fontId="4" fillId="0" borderId="38" xfId="0" applyNumberFormat="1" applyFont="1" applyBorder="1" applyAlignment="1">
      <alignment horizontal="center"/>
    </xf>
    <xf numFmtId="0" fontId="4" fillId="0" borderId="39" xfId="0" applyFont="1" applyBorder="1"/>
    <xf numFmtId="6" fontId="1" fillId="0" borderId="55" xfId="0" applyNumberFormat="1" applyFont="1" applyBorder="1" applyAlignment="1">
      <alignment horizontal="center"/>
    </xf>
    <xf numFmtId="6" fontId="4" fillId="0" borderId="40" xfId="0" applyNumberFormat="1" applyFont="1" applyBorder="1" applyAlignment="1">
      <alignment horizontal="center"/>
    </xf>
    <xf numFmtId="169" fontId="1" fillId="0" borderId="24" xfId="0" applyNumberFormat="1" applyFont="1" applyBorder="1" applyAlignment="1">
      <alignment horizontal="center"/>
    </xf>
    <xf numFmtId="169" fontId="4" fillId="0" borderId="38" xfId="0" applyNumberFormat="1" applyFont="1" applyBorder="1" applyAlignment="1">
      <alignment horizontal="center"/>
    </xf>
    <xf numFmtId="169" fontId="42" fillId="0" borderId="24" xfId="0" applyNumberFormat="1" applyFont="1" applyBorder="1" applyAlignment="1">
      <alignment horizontal="center"/>
    </xf>
    <xf numFmtId="0" fontId="1" fillId="0" borderId="53" xfId="0" applyFont="1" applyBorder="1"/>
    <xf numFmtId="0" fontId="41" fillId="0" borderId="21" xfId="0" applyFont="1" applyBorder="1" applyAlignment="1">
      <alignment horizontal="center"/>
    </xf>
    <xf numFmtId="0" fontId="4" fillId="0" borderId="21" xfId="0" applyFont="1" applyBorder="1" applyAlignment="1">
      <alignment horizontal="center"/>
    </xf>
    <xf numFmtId="0" fontId="4" fillId="0" borderId="58" xfId="0" applyFont="1" applyBorder="1" applyAlignment="1">
      <alignment horizontal="center"/>
    </xf>
    <xf numFmtId="3" fontId="42" fillId="0" borderId="54" xfId="0" applyNumberFormat="1" applyFont="1" applyBorder="1" applyAlignment="1">
      <alignment horizontal="center"/>
    </xf>
    <xf numFmtId="3" fontId="4" fillId="0" borderId="45" xfId="0" applyNumberFormat="1" applyFont="1" applyBorder="1" applyAlignment="1">
      <alignment horizontal="center"/>
    </xf>
    <xf numFmtId="6" fontId="42" fillId="0" borderId="55" xfId="0" applyNumberFormat="1" applyFont="1" applyBorder="1" applyAlignment="1">
      <alignment horizontal="center"/>
    </xf>
    <xf numFmtId="7" fontId="1" fillId="0" borderId="0" xfId="39" applyNumberFormat="1"/>
    <xf numFmtId="42" fontId="4" fillId="0" borderId="0" xfId="0" applyNumberFormat="1" applyFont="1"/>
    <xf numFmtId="42" fontId="4" fillId="0" borderId="26" xfId="39" applyNumberFormat="1" applyFont="1" applyBorder="1" applyAlignment="1">
      <alignment horizontal="center" vertical="center"/>
    </xf>
    <xf numFmtId="0" fontId="4" fillId="27" borderId="28" xfId="0" applyFont="1" applyFill="1" applyBorder="1" applyAlignment="1">
      <alignment horizontal="center" vertical="center" wrapText="1"/>
    </xf>
    <xf numFmtId="0" fontId="4" fillId="27" borderId="19" xfId="0" applyFont="1" applyFill="1" applyBorder="1" applyAlignment="1">
      <alignment horizontal="center" vertical="center" wrapText="1"/>
    </xf>
    <xf numFmtId="0" fontId="4" fillId="27" borderId="63" xfId="0" applyFont="1" applyFill="1" applyBorder="1" applyAlignment="1">
      <alignment horizontal="center" vertical="center" wrapText="1"/>
    </xf>
    <xf numFmtId="4" fontId="43" fillId="0" borderId="33" xfId="0" applyNumberFormat="1" applyFont="1" applyBorder="1" applyAlignment="1">
      <alignment horizontal="center" vertical="center"/>
    </xf>
    <xf numFmtId="4" fontId="43" fillId="0" borderId="50" xfId="0" applyNumberFormat="1" applyFont="1" applyBorder="1" applyAlignment="1">
      <alignment horizontal="center" vertical="center"/>
    </xf>
    <xf numFmtId="4" fontId="43" fillId="0" borderId="65" xfId="0" applyNumberFormat="1" applyFont="1" applyBorder="1" applyAlignment="1">
      <alignment horizontal="center" vertical="center"/>
    </xf>
    <xf numFmtId="44" fontId="1" fillId="0" borderId="61" xfId="39" applyFont="1" applyBorder="1" applyAlignment="1">
      <alignment horizontal="center" vertical="center"/>
    </xf>
    <xf numFmtId="44" fontId="1" fillId="0" borderId="47" xfId="39" applyFont="1" applyBorder="1" applyAlignment="1">
      <alignment horizontal="center" vertical="center"/>
    </xf>
    <xf numFmtId="44" fontId="1" fillId="0" borderId="62" xfId="39" applyFont="1" applyBorder="1" applyAlignment="1">
      <alignment horizontal="center" vertical="center"/>
    </xf>
    <xf numFmtId="44" fontId="1" fillId="0" borderId="59" xfId="39" applyFont="1" applyBorder="1" applyAlignment="1">
      <alignment horizontal="center" vertical="center"/>
    </xf>
    <xf numFmtId="44" fontId="1" fillId="0" borderId="46" xfId="39" applyFont="1" applyBorder="1" applyAlignment="1">
      <alignment horizontal="center" vertical="center"/>
    </xf>
    <xf numFmtId="44" fontId="1" fillId="0" borderId="60" xfId="39" applyFont="1" applyBorder="1" applyAlignment="1">
      <alignment horizontal="center" vertical="center"/>
    </xf>
    <xf numFmtId="44" fontId="4" fillId="28" borderId="28" xfId="39" applyFont="1" applyFill="1" applyBorder="1" applyAlignment="1">
      <alignment horizontal="center" vertical="center" wrapText="1"/>
    </xf>
    <xf numFmtId="44" fontId="0" fillId="0" borderId="61" xfId="39" applyFont="1" applyBorder="1" applyAlignment="1">
      <alignment horizontal="center" vertical="center"/>
    </xf>
    <xf numFmtId="44" fontId="0" fillId="0" borderId="47" xfId="39" applyFont="1" applyBorder="1" applyAlignment="1">
      <alignment horizontal="center" vertical="center"/>
    </xf>
    <xf numFmtId="44" fontId="0" fillId="0" borderId="62" xfId="39" applyFont="1" applyBorder="1" applyAlignment="1">
      <alignment horizontal="center" vertical="center"/>
    </xf>
    <xf numFmtId="44" fontId="4" fillId="33" borderId="26" xfId="39" applyFont="1" applyFill="1" applyBorder="1" applyAlignment="1">
      <alignment horizontal="center" vertical="center" wrapText="1"/>
    </xf>
    <xf numFmtId="171" fontId="49" fillId="33" borderId="37" xfId="61" applyNumberFormat="1" applyFont="1" applyFill="1" applyBorder="1" applyAlignment="1" applyProtection="1">
      <alignment horizontal="center" vertical="center"/>
      <protection locked="0"/>
    </xf>
    <xf numFmtId="171" fontId="49" fillId="33" borderId="39" xfId="61" applyNumberFormat="1" applyFont="1" applyFill="1" applyBorder="1" applyAlignment="1" applyProtection="1">
      <alignment horizontal="center" vertical="center"/>
      <protection locked="0"/>
    </xf>
    <xf numFmtId="171" fontId="49" fillId="33" borderId="38" xfId="61" applyNumberFormat="1" applyFont="1" applyFill="1" applyBorder="1" applyAlignment="1" applyProtection="1">
      <alignment horizontal="center" vertical="center"/>
      <protection locked="0"/>
    </xf>
    <xf numFmtId="171" fontId="49" fillId="33" borderId="40" xfId="61" applyNumberFormat="1" applyFont="1" applyFill="1" applyBorder="1" applyAlignment="1" applyProtection="1">
      <alignment horizontal="center" vertical="center"/>
      <protection locked="0"/>
    </xf>
    <xf numFmtId="44" fontId="0" fillId="0" borderId="59" xfId="39" applyFont="1" applyBorder="1" applyAlignment="1">
      <alignment horizontal="center" vertical="center"/>
    </xf>
    <xf numFmtId="44" fontId="0" fillId="0" borderId="46" xfId="39" applyFont="1" applyBorder="1" applyAlignment="1">
      <alignment horizontal="center" vertical="center"/>
    </xf>
    <xf numFmtId="44" fontId="0" fillId="0" borderId="60" xfId="39" applyFont="1" applyBorder="1" applyAlignment="1">
      <alignment horizontal="center" vertical="center"/>
    </xf>
    <xf numFmtId="172" fontId="0" fillId="0" borderId="0" xfId="98" applyNumberFormat="1" applyFont="1" applyAlignment="1">
      <alignment horizontal="center" vertical="center"/>
    </xf>
    <xf numFmtId="0" fontId="4" fillId="33" borderId="28" xfId="0" applyFont="1" applyFill="1" applyBorder="1" applyAlignment="1">
      <alignment horizontal="center" vertical="center" wrapText="1"/>
    </xf>
    <xf numFmtId="10" fontId="4" fillId="33" borderId="28" xfId="86" applyNumberFormat="1" applyFont="1" applyFill="1" applyBorder="1" applyAlignment="1">
      <alignment horizontal="center" vertical="center" wrapText="1"/>
    </xf>
    <xf numFmtId="173" fontId="0" fillId="0" borderId="33" xfId="86" applyNumberFormat="1" applyFont="1" applyBorder="1" applyAlignment="1">
      <alignment horizontal="center" vertical="center"/>
    </xf>
    <xf numFmtId="173" fontId="0" fillId="0" borderId="50" xfId="86" applyNumberFormat="1" applyFont="1" applyBorder="1" applyAlignment="1">
      <alignment horizontal="center" vertical="center"/>
    </xf>
    <xf numFmtId="173" fontId="0" fillId="0" borderId="65" xfId="86" applyNumberFormat="1" applyFont="1" applyBorder="1" applyAlignment="1">
      <alignment horizontal="center" vertical="center"/>
    </xf>
    <xf numFmtId="42" fontId="0" fillId="28" borderId="28" xfId="0" applyNumberFormat="1" applyFill="1" applyBorder="1" applyAlignment="1">
      <alignment horizontal="center" vertical="center"/>
    </xf>
    <xf numFmtId="172" fontId="1" fillId="0" borderId="0" xfId="98" applyNumberFormat="1" applyFont="1" applyAlignment="1">
      <alignment horizontal="center" vertical="center"/>
    </xf>
    <xf numFmtId="170" fontId="0" fillId="28" borderId="28" xfId="0" applyNumberFormat="1" applyFill="1" applyBorder="1" applyAlignment="1">
      <alignment horizontal="center" vertical="center"/>
    </xf>
    <xf numFmtId="170" fontId="0" fillId="0" borderId="0" xfId="39" applyNumberFormat="1" applyFont="1" applyAlignment="1">
      <alignment horizontal="center" vertical="center"/>
    </xf>
    <xf numFmtId="173" fontId="0" fillId="0" borderId="22" xfId="86" applyNumberFormat="1" applyFont="1" applyBorder="1"/>
    <xf numFmtId="172" fontId="1" fillId="27" borderId="28" xfId="98" applyNumberFormat="1" applyFont="1" applyFill="1" applyBorder="1" applyAlignment="1">
      <alignment horizontal="center" vertical="center"/>
    </xf>
    <xf numFmtId="172" fontId="4" fillId="27" borderId="26" xfId="98" applyNumberFormat="1" applyFont="1" applyFill="1" applyBorder="1" applyAlignment="1">
      <alignment horizontal="center" vertical="center" wrapText="1"/>
    </xf>
    <xf numFmtId="172" fontId="0" fillId="0" borderId="0" xfId="98" applyNumberFormat="1" applyFont="1"/>
    <xf numFmtId="5" fontId="0" fillId="0" borderId="0" xfId="98" applyNumberFormat="1" applyFont="1" applyAlignment="1">
      <alignment horizontal="center" vertical="center"/>
    </xf>
    <xf numFmtId="5" fontId="4" fillId="0" borderId="0" xfId="98" applyNumberFormat="1" applyFont="1" applyAlignment="1">
      <alignment horizontal="center" vertical="center"/>
    </xf>
    <xf numFmtId="0" fontId="0" fillId="0" borderId="0" xfId="98" applyNumberFormat="1" applyFont="1"/>
    <xf numFmtId="0" fontId="0" fillId="0" borderId="17" xfId="0" applyBorder="1"/>
    <xf numFmtId="171" fontId="0" fillId="0" borderId="0" xfId="0" applyNumberFormat="1"/>
    <xf numFmtId="44" fontId="0" fillId="0" borderId="47" xfId="39" applyFont="1" applyBorder="1"/>
    <xf numFmtId="42" fontId="0" fillId="0" borderId="0" xfId="0" applyNumberFormat="1"/>
    <xf numFmtId="0" fontId="4" fillId="28" borderId="28" xfId="0" applyFont="1" applyFill="1" applyBorder="1" applyAlignment="1">
      <alignment horizontal="center" vertical="center" wrapText="1"/>
    </xf>
    <xf numFmtId="0" fontId="4" fillId="33" borderId="28" xfId="0" applyFont="1" applyFill="1" applyBorder="1" applyAlignment="1">
      <alignment wrapText="1"/>
    </xf>
    <xf numFmtId="0" fontId="4" fillId="33" borderId="29" xfId="0" applyFont="1" applyFill="1" applyBorder="1" applyAlignment="1">
      <alignment wrapText="1"/>
    </xf>
    <xf numFmtId="5" fontId="4" fillId="33" borderId="30" xfId="98" applyNumberFormat="1" applyFont="1" applyFill="1" applyBorder="1" applyAlignment="1">
      <alignment horizontal="center" vertical="center" wrapText="1"/>
    </xf>
    <xf numFmtId="5" fontId="4" fillId="33" borderId="29" xfId="98" applyNumberFormat="1" applyFont="1" applyFill="1" applyBorder="1" applyAlignment="1">
      <alignment horizontal="center" vertical="center"/>
    </xf>
    <xf numFmtId="166" fontId="1" fillId="0" borderId="19" xfId="39" applyNumberFormat="1" applyFill="1" applyBorder="1"/>
    <xf numFmtId="7" fontId="1" fillId="26" borderId="19" xfId="39" applyNumberFormat="1" applyFill="1" applyBorder="1"/>
    <xf numFmtId="42" fontId="0" fillId="0" borderId="0" xfId="0" applyNumberFormat="1" applyAlignment="1">
      <alignment horizontal="center" vertical="center"/>
    </xf>
    <xf numFmtId="172" fontId="0" fillId="0" borderId="0" xfId="0" applyNumberFormat="1"/>
    <xf numFmtId="0" fontId="50" fillId="0" borderId="45" xfId="0" applyFont="1" applyBorder="1" applyAlignment="1">
      <alignment vertical="top" wrapText="1"/>
    </xf>
    <xf numFmtId="0" fontId="4" fillId="30" borderId="73" xfId="0" applyFont="1" applyFill="1" applyBorder="1" applyAlignment="1">
      <alignment wrapText="1"/>
    </xf>
    <xf numFmtId="0" fontId="4" fillId="30" borderId="32" xfId="0" applyFont="1" applyFill="1" applyBorder="1" applyAlignment="1">
      <alignment wrapText="1"/>
    </xf>
    <xf numFmtId="0" fontId="4" fillId="30" borderId="19" xfId="0" applyFont="1" applyFill="1" applyBorder="1" applyAlignment="1">
      <alignment wrapText="1"/>
    </xf>
    <xf numFmtId="0" fontId="1" fillId="0" borderId="66" xfId="0" applyFont="1" applyBorder="1"/>
    <xf numFmtId="0" fontId="1" fillId="0" borderId="17" xfId="0" applyFont="1" applyBorder="1"/>
    <xf numFmtId="0" fontId="1" fillId="0" borderId="17" xfId="1" applyBorder="1"/>
    <xf numFmtId="0" fontId="35" fillId="0" borderId="17" xfId="1" applyFont="1" applyBorder="1"/>
    <xf numFmtId="0" fontId="1" fillId="0" borderId="67" xfId="0" applyFont="1" applyBorder="1"/>
    <xf numFmtId="2" fontId="4" fillId="29" borderId="27" xfId="0" applyNumberFormat="1" applyFont="1" applyFill="1" applyBorder="1" applyAlignment="1">
      <alignment wrapText="1"/>
    </xf>
    <xf numFmtId="0" fontId="1" fillId="0" borderId="0" xfId="0" applyFont="1" applyAlignment="1">
      <alignment horizontal="right"/>
    </xf>
    <xf numFmtId="175" fontId="4" fillId="0" borderId="25" xfId="39" applyNumberFormat="1" applyFont="1" applyBorder="1" applyAlignment="1">
      <alignment horizontal="center" vertical="center"/>
    </xf>
    <xf numFmtId="176" fontId="4" fillId="0" borderId="26" xfId="39" applyNumberFormat="1" applyFont="1" applyBorder="1" applyAlignment="1">
      <alignment horizontal="center" vertical="center"/>
    </xf>
    <xf numFmtId="7" fontId="0" fillId="0" borderId="68" xfId="98" applyNumberFormat="1" applyFont="1" applyBorder="1" applyAlignment="1">
      <alignment horizontal="center" vertical="center"/>
    </xf>
    <xf numFmtId="7" fontId="0" fillId="0" borderId="57" xfId="98" applyNumberFormat="1" applyFont="1" applyBorder="1" applyAlignment="1">
      <alignment horizontal="center" vertical="center"/>
    </xf>
    <xf numFmtId="7" fontId="0" fillId="0" borderId="69" xfId="98" applyNumberFormat="1" applyFont="1" applyBorder="1" applyAlignment="1">
      <alignment horizontal="center" vertical="center"/>
    </xf>
    <xf numFmtId="44" fontId="51" fillId="0" borderId="61" xfId="39" applyFont="1" applyBorder="1"/>
    <xf numFmtId="44" fontId="51" fillId="0" borderId="54" xfId="39" applyFont="1" applyBorder="1"/>
    <xf numFmtId="44" fontId="51" fillId="0" borderId="45" xfId="0" applyNumberFormat="1" applyFont="1" applyBorder="1"/>
    <xf numFmtId="44" fontId="51" fillId="0" borderId="47" xfId="39" applyFont="1" applyBorder="1"/>
    <xf numFmtId="44" fontId="51" fillId="0" borderId="24" xfId="39" applyFont="1" applyBorder="1"/>
    <xf numFmtId="44" fontId="51" fillId="0" borderId="38" xfId="0" applyNumberFormat="1" applyFont="1" applyBorder="1"/>
    <xf numFmtId="170" fontId="51" fillId="0" borderId="47" xfId="39" applyNumberFormat="1" applyFont="1" applyBorder="1"/>
    <xf numFmtId="170" fontId="51" fillId="0" borderId="24" xfId="39" applyNumberFormat="1" applyFont="1" applyBorder="1"/>
    <xf numFmtId="44" fontId="51" fillId="0" borderId="47" xfId="39" applyFont="1" applyFill="1" applyBorder="1"/>
    <xf numFmtId="44" fontId="51" fillId="0" borderId="62" xfId="39" applyFont="1" applyBorder="1"/>
    <xf numFmtId="44" fontId="51" fillId="0" borderId="55" xfId="39" applyFont="1" applyBorder="1"/>
    <xf numFmtId="44" fontId="51" fillId="0" borderId="40" xfId="0" applyNumberFormat="1" applyFont="1" applyBorder="1"/>
    <xf numFmtId="0" fontId="51" fillId="0" borderId="0" xfId="0" applyFont="1"/>
    <xf numFmtId="42" fontId="52" fillId="0" borderId="52" xfId="39" applyNumberFormat="1" applyFont="1" applyBorder="1"/>
    <xf numFmtId="44" fontId="51" fillId="0" borderId="61" xfId="0" applyNumberFormat="1" applyFont="1" applyBorder="1"/>
    <xf numFmtId="44" fontId="51" fillId="0" borderId="0" xfId="0" applyNumberFormat="1" applyFont="1"/>
    <xf numFmtId="44" fontId="51" fillId="0" borderId="47" xfId="0" applyNumberFormat="1" applyFont="1" applyBorder="1"/>
    <xf numFmtId="44" fontId="51" fillId="0" borderId="62" xfId="0" applyNumberFormat="1" applyFont="1" applyBorder="1"/>
    <xf numFmtId="0" fontId="4" fillId="30" borderId="63" xfId="0" applyFont="1" applyFill="1" applyBorder="1" applyAlignment="1">
      <alignment wrapText="1"/>
    </xf>
    <xf numFmtId="0" fontId="4" fillId="30" borderId="25" xfId="0" applyFont="1" applyFill="1" applyBorder="1" applyAlignment="1">
      <alignment wrapText="1"/>
    </xf>
    <xf numFmtId="0" fontId="4" fillId="30" borderId="30" xfId="0" applyFont="1" applyFill="1" applyBorder="1" applyAlignment="1">
      <alignment wrapText="1"/>
    </xf>
    <xf numFmtId="44" fontId="51" fillId="0" borderId="44" xfId="39" applyFont="1" applyBorder="1"/>
    <xf numFmtId="44" fontId="51" fillId="0" borderId="37" xfId="39" applyFont="1" applyBorder="1"/>
    <xf numFmtId="170" fontId="51" fillId="0" borderId="37" xfId="39" applyNumberFormat="1" applyFont="1" applyBorder="1"/>
    <xf numFmtId="44" fontId="51" fillId="0" borderId="37" xfId="39" applyFont="1" applyFill="1" applyBorder="1"/>
    <xf numFmtId="44" fontId="51" fillId="0" borderId="39" xfId="39" applyFont="1" applyBorder="1"/>
    <xf numFmtId="176" fontId="52" fillId="0" borderId="26" xfId="0" applyNumberFormat="1" applyFont="1" applyBorder="1"/>
    <xf numFmtId="176" fontId="52" fillId="0" borderId="30" xfId="0" applyNumberFormat="1" applyFont="1" applyBorder="1"/>
    <xf numFmtId="43" fontId="1" fillId="27" borderId="66" xfId="98" applyFont="1" applyFill="1" applyBorder="1" applyAlignment="1">
      <alignment horizontal="center" vertical="center"/>
    </xf>
    <xf numFmtId="43" fontId="1" fillId="27" borderId="17" xfId="98" applyFont="1" applyFill="1" applyBorder="1" applyAlignment="1">
      <alignment horizontal="center" vertical="center"/>
    </xf>
    <xf numFmtId="43" fontId="1" fillId="27" borderId="67" xfId="98" applyFont="1" applyFill="1" applyBorder="1" applyAlignment="1">
      <alignment horizontal="center" vertical="center"/>
    </xf>
    <xf numFmtId="7" fontId="4" fillId="0" borderId="0" xfId="98" applyNumberFormat="1" applyFont="1" applyAlignment="1">
      <alignment horizontal="center" vertical="center"/>
    </xf>
    <xf numFmtId="44" fontId="4" fillId="0" borderId="0" xfId="39" applyFont="1" applyAlignment="1">
      <alignment horizontal="center" vertical="center"/>
    </xf>
    <xf numFmtId="172" fontId="4" fillId="0" borderId="0" xfId="98" applyNumberFormat="1" applyFont="1" applyAlignment="1">
      <alignment horizontal="center" vertical="center"/>
    </xf>
    <xf numFmtId="44" fontId="4" fillId="0" borderId="0" xfId="0" applyNumberFormat="1" applyFont="1" applyAlignment="1">
      <alignment horizontal="center" vertical="center"/>
    </xf>
    <xf numFmtId="44" fontId="1" fillId="0" borderId="45" xfId="0" applyNumberFormat="1" applyFont="1" applyBorder="1"/>
    <xf numFmtId="44" fontId="1" fillId="0" borderId="38" xfId="0" applyNumberFormat="1" applyFont="1" applyBorder="1"/>
    <xf numFmtId="44" fontId="1" fillId="0" borderId="40" xfId="0" applyNumberFormat="1" applyFont="1" applyBorder="1"/>
    <xf numFmtId="44" fontId="1" fillId="0" borderId="59" xfId="39" applyFont="1" applyBorder="1"/>
    <xf numFmtId="44" fontId="1" fillId="0" borderId="46" xfId="39" applyFont="1" applyBorder="1"/>
    <xf numFmtId="44" fontId="1" fillId="0" borderId="60" xfId="39" applyFont="1" applyBorder="1"/>
    <xf numFmtId="176" fontId="4" fillId="0" borderId="52" xfId="39" applyNumberFormat="1" applyFont="1" applyBorder="1"/>
    <xf numFmtId="42" fontId="4" fillId="0" borderId="26" xfId="39" applyNumberFormat="1" applyFont="1" applyBorder="1"/>
    <xf numFmtId="176" fontId="4" fillId="0" borderId="35" xfId="39" applyNumberFormat="1" applyFont="1" applyBorder="1"/>
    <xf numFmtId="176" fontId="4" fillId="0" borderId="36" xfId="39" applyNumberFormat="1" applyFont="1" applyBorder="1"/>
    <xf numFmtId="44" fontId="4" fillId="32" borderId="28" xfId="39" applyFont="1" applyFill="1" applyBorder="1" applyAlignment="1">
      <alignment horizontal="center" vertical="center" wrapText="1"/>
    </xf>
    <xf numFmtId="44" fontId="4" fillId="32" borderId="27" xfId="39" applyFont="1" applyFill="1" applyBorder="1" applyAlignment="1">
      <alignment horizontal="center" vertical="center" wrapText="1"/>
    </xf>
    <xf numFmtId="0" fontId="4" fillId="32" borderId="28" xfId="0" applyFont="1" applyFill="1" applyBorder="1" applyAlignment="1">
      <alignment horizontal="center" vertical="center" wrapText="1"/>
    </xf>
    <xf numFmtId="0" fontId="1" fillId="0" borderId="38" xfId="0" applyFont="1" applyBorder="1" applyAlignment="1">
      <alignment vertical="top" wrapText="1"/>
    </xf>
    <xf numFmtId="0" fontId="1" fillId="0" borderId="45" xfId="0" applyFont="1" applyBorder="1" applyAlignment="1">
      <alignment vertical="top" wrapText="1"/>
    </xf>
    <xf numFmtId="0" fontId="54" fillId="0" borderId="0" xfId="0" applyFont="1"/>
    <xf numFmtId="0" fontId="0" fillId="0" borderId="0" xfId="0" applyAlignment="1">
      <alignment horizontal="left"/>
    </xf>
    <xf numFmtId="0" fontId="0" fillId="29" borderId="24" xfId="0" applyFill="1" applyBorder="1"/>
    <xf numFmtId="0" fontId="0" fillId="0" borderId="21" xfId="0" applyBorder="1"/>
    <xf numFmtId="44" fontId="0" fillId="0" borderId="21" xfId="0" applyNumberFormat="1" applyBorder="1"/>
    <xf numFmtId="2" fontId="0" fillId="0" borderId="21" xfId="0" applyNumberFormat="1" applyBorder="1"/>
    <xf numFmtId="0" fontId="0" fillId="0" borderId="24" xfId="0" applyBorder="1" applyAlignment="1">
      <alignment horizontal="left" wrapText="1"/>
    </xf>
    <xf numFmtId="2" fontId="0" fillId="0" borderId="22" xfId="0" applyNumberFormat="1" applyBorder="1"/>
    <xf numFmtId="0" fontId="0" fillId="0" borderId="23" xfId="0" applyBorder="1"/>
    <xf numFmtId="44" fontId="0" fillId="0" borderId="23" xfId="0" applyNumberFormat="1" applyBorder="1"/>
    <xf numFmtId="2" fontId="0" fillId="0" borderId="23" xfId="0" applyNumberFormat="1" applyBorder="1"/>
    <xf numFmtId="0" fontId="0" fillId="30" borderId="0" xfId="0" applyFill="1"/>
    <xf numFmtId="165" fontId="0" fillId="0" borderId="0" xfId="0" applyNumberFormat="1"/>
    <xf numFmtId="0" fontId="0" fillId="0" borderId="0" xfId="0" applyAlignment="1">
      <alignment horizontal="left" wrapText="1"/>
    </xf>
    <xf numFmtId="0" fontId="0" fillId="0" borderId="42" xfId="0" applyBorder="1"/>
    <xf numFmtId="0" fontId="0" fillId="0" borderId="41" xfId="0" applyBorder="1"/>
    <xf numFmtId="166" fontId="0" fillId="0" borderId="24" xfId="0" applyNumberFormat="1" applyBorder="1" applyAlignment="1">
      <alignment horizontal="left" wrapText="1"/>
    </xf>
    <xf numFmtId="0" fontId="0" fillId="0" borderId="24" xfId="0" applyBorder="1"/>
    <xf numFmtId="2" fontId="0" fillId="0" borderId="24" xfId="0" applyNumberFormat="1" applyBorder="1"/>
    <xf numFmtId="0" fontId="0" fillId="0" borderId="24" xfId="0" applyBorder="1" applyAlignment="1">
      <alignment horizontal="left"/>
    </xf>
    <xf numFmtId="44" fontId="1" fillId="0" borderId="0" xfId="0" applyNumberFormat="1" applyFont="1"/>
    <xf numFmtId="176" fontId="4" fillId="0" borderId="26" xfId="0" applyNumberFormat="1" applyFont="1" applyBorder="1"/>
    <xf numFmtId="0" fontId="4" fillId="0" borderId="40" xfId="0" applyFont="1" applyBorder="1" applyAlignment="1">
      <alignment vertical="top" wrapText="1"/>
    </xf>
    <xf numFmtId="0" fontId="55" fillId="0" borderId="0" xfId="0" applyFont="1"/>
    <xf numFmtId="0" fontId="56" fillId="0" borderId="0" xfId="0" applyFont="1" applyAlignment="1">
      <alignment horizontal="left"/>
    </xf>
    <xf numFmtId="0" fontId="57" fillId="0" borderId="0" xfId="0" applyFont="1"/>
    <xf numFmtId="4" fontId="57" fillId="0" borderId="0" xfId="0" applyNumberFormat="1" applyFont="1"/>
    <xf numFmtId="4" fontId="58" fillId="0" borderId="0" xfId="0" applyNumberFormat="1" applyFont="1"/>
    <xf numFmtId="4" fontId="59" fillId="0" borderId="0" xfId="0" applyNumberFormat="1" applyFont="1"/>
    <xf numFmtId="171" fontId="57" fillId="0" borderId="0" xfId="0" applyNumberFormat="1" applyFont="1"/>
    <xf numFmtId="171" fontId="57" fillId="0" borderId="0" xfId="0" applyNumberFormat="1" applyFont="1" applyAlignment="1">
      <alignment horizontal="right"/>
    </xf>
    <xf numFmtId="4" fontId="60" fillId="0" borderId="0" xfId="98" applyNumberFormat="1" applyFont="1" applyBorder="1"/>
    <xf numFmtId="43" fontId="57" fillId="0" borderId="0" xfId="98" applyFont="1"/>
    <xf numFmtId="0" fontId="58" fillId="0" borderId="0" xfId="0" applyFont="1"/>
    <xf numFmtId="0" fontId="61" fillId="0" borderId="0" xfId="0" applyFont="1"/>
    <xf numFmtId="4" fontId="62" fillId="0" borderId="0" xfId="0" applyNumberFormat="1" applyFont="1" applyAlignment="1">
      <alignment horizontal="right"/>
    </xf>
    <xf numFmtId="44" fontId="58" fillId="0" borderId="0" xfId="0" applyNumberFormat="1" applyFont="1"/>
    <xf numFmtId="8" fontId="57" fillId="0" borderId="0" xfId="0" applyNumberFormat="1" applyFont="1"/>
    <xf numFmtId="4" fontId="57" fillId="0" borderId="0" xfId="98" applyNumberFormat="1" applyFont="1" applyBorder="1"/>
    <xf numFmtId="9" fontId="57" fillId="0" borderId="0" xfId="0" applyNumberFormat="1" applyFont="1"/>
    <xf numFmtId="174" fontId="57" fillId="0" borderId="0" xfId="44" applyNumberFormat="1" applyFont="1" applyBorder="1"/>
    <xf numFmtId="0" fontId="63" fillId="0" borderId="0" xfId="0" applyFont="1" applyAlignment="1">
      <alignment horizontal="right"/>
    </xf>
    <xf numFmtId="43" fontId="63" fillId="0" borderId="0" xfId="98" applyFont="1"/>
    <xf numFmtId="4" fontId="59" fillId="0" borderId="0" xfId="0" applyNumberFormat="1" applyFont="1" applyAlignment="1">
      <alignment horizontal="right"/>
    </xf>
    <xf numFmtId="3" fontId="58" fillId="0" borderId="0" xfId="0" applyNumberFormat="1" applyFont="1"/>
    <xf numFmtId="171" fontId="58" fillId="0" borderId="0" xfId="0" applyNumberFormat="1" applyFont="1" applyAlignment="1">
      <alignment horizontal="right"/>
    </xf>
    <xf numFmtId="0" fontId="64" fillId="0" borderId="0" xfId="0" applyFont="1"/>
    <xf numFmtId="3" fontId="65" fillId="0" borderId="0" xfId="0" applyNumberFormat="1" applyFont="1"/>
    <xf numFmtId="3" fontId="57" fillId="0" borderId="0" xfId="0" applyNumberFormat="1" applyFont="1"/>
    <xf numFmtId="4" fontId="58" fillId="0" borderId="0" xfId="44" applyNumberFormat="1" applyFont="1" applyFill="1" applyBorder="1"/>
    <xf numFmtId="0" fontId="57" fillId="0" borderId="0" xfId="0" applyFont="1" applyAlignment="1">
      <alignment horizontal="center"/>
    </xf>
    <xf numFmtId="44" fontId="57" fillId="0" borderId="0" xfId="44" applyFont="1" applyFill="1" applyBorder="1" applyAlignment="1">
      <alignment horizontal="center"/>
    </xf>
    <xf numFmtId="0" fontId="57" fillId="0" borderId="0" xfId="0" applyFont="1" applyAlignment="1">
      <alignment horizontal="right"/>
    </xf>
    <xf numFmtId="43" fontId="57" fillId="0" borderId="0" xfId="98" applyFont="1" applyFill="1"/>
    <xf numFmtId="0" fontId="58" fillId="0" borderId="0" xfId="0" applyFont="1" applyAlignment="1">
      <alignment horizontal="left"/>
    </xf>
    <xf numFmtId="4" fontId="61" fillId="0" borderId="0" xfId="0" applyNumberFormat="1" applyFont="1"/>
    <xf numFmtId="4" fontId="66" fillId="0" borderId="0" xfId="0" applyNumberFormat="1" applyFont="1"/>
    <xf numFmtId="171" fontId="63" fillId="0" borderId="0" xfId="0" applyNumberFormat="1" applyFont="1" applyAlignment="1">
      <alignment horizontal="right"/>
    </xf>
    <xf numFmtId="9" fontId="63" fillId="0" borderId="0" xfId="86" applyFont="1" applyFill="1"/>
    <xf numFmtId="173" fontId="67" fillId="0" borderId="0" xfId="86" applyNumberFormat="1" applyFont="1" applyFill="1"/>
    <xf numFmtId="9" fontId="63" fillId="0" borderId="0" xfId="86" applyFont="1" applyFill="1" applyAlignment="1">
      <alignment horizontal="right"/>
    </xf>
    <xf numFmtId="43" fontId="61" fillId="0" borderId="0" xfId="98" applyFont="1" applyFill="1"/>
    <xf numFmtId="173" fontId="61" fillId="0" borderId="0" xfId="86" applyNumberFormat="1" applyFont="1"/>
    <xf numFmtId="43" fontId="63" fillId="0" borderId="0" xfId="98" applyFont="1" applyFill="1" applyAlignment="1">
      <alignment horizontal="left"/>
    </xf>
    <xf numFmtId="174" fontId="61" fillId="0" borderId="0" xfId="44" applyNumberFormat="1" applyFont="1" applyFill="1" applyBorder="1"/>
    <xf numFmtId="43" fontId="61" fillId="0" borderId="0" xfId="98" applyFont="1"/>
    <xf numFmtId="44" fontId="63" fillId="0" borderId="0" xfId="0" applyNumberFormat="1" applyFont="1"/>
    <xf numFmtId="10" fontId="61" fillId="0" borderId="0" xfId="86" applyNumberFormat="1" applyFont="1"/>
    <xf numFmtId="171" fontId="63" fillId="0" borderId="0" xfId="0" applyNumberFormat="1" applyFont="1"/>
    <xf numFmtId="173" fontId="65" fillId="0" borderId="0" xfId="86" applyNumberFormat="1" applyFont="1" applyFill="1" applyAlignment="1">
      <alignment horizontal="left"/>
    </xf>
    <xf numFmtId="4" fontId="65" fillId="0" borderId="0" xfId="0" applyNumberFormat="1" applyFont="1"/>
    <xf numFmtId="173" fontId="63" fillId="0" borderId="0" xfId="86" applyNumberFormat="1" applyFont="1" applyFill="1" applyAlignment="1">
      <alignment horizontal="left"/>
    </xf>
    <xf numFmtId="174" fontId="63" fillId="0" borderId="0" xfId="0" applyNumberFormat="1" applyFont="1"/>
    <xf numFmtId="8" fontId="63" fillId="0" borderId="0" xfId="0" applyNumberFormat="1" applyFont="1"/>
    <xf numFmtId="0" fontId="63" fillId="0" borderId="46" xfId="0" applyFont="1" applyBorder="1" applyAlignment="1">
      <alignment wrapText="1"/>
    </xf>
    <xf numFmtId="0" fontId="63" fillId="0" borderId="70" xfId="0" applyFont="1" applyBorder="1" applyAlignment="1">
      <alignment wrapText="1"/>
    </xf>
    <xf numFmtId="0" fontId="63" fillId="0" borderId="78" xfId="0" applyFont="1" applyBorder="1" applyAlignment="1">
      <alignment wrapText="1"/>
    </xf>
    <xf numFmtId="0" fontId="63" fillId="0" borderId="66" xfId="0" applyFont="1" applyBorder="1" applyAlignment="1">
      <alignment wrapText="1"/>
    </xf>
    <xf numFmtId="4" fontId="68" fillId="35" borderId="44" xfId="0" applyNumberFormat="1" applyFont="1" applyFill="1" applyBorder="1" applyAlignment="1">
      <alignment horizontal="center" vertical="center" wrapText="1"/>
    </xf>
    <xf numFmtId="4" fontId="68" fillId="35" borderId="54" xfId="0" applyNumberFormat="1" applyFont="1" applyFill="1" applyBorder="1" applyAlignment="1">
      <alignment horizontal="center" vertical="center" wrapText="1"/>
    </xf>
    <xf numFmtId="4" fontId="68" fillId="35" borderId="45" xfId="0" applyNumberFormat="1" applyFont="1" applyFill="1" applyBorder="1" applyAlignment="1">
      <alignment horizontal="center" vertical="center" wrapText="1"/>
    </xf>
    <xf numFmtId="171" fontId="68" fillId="35" borderId="54" xfId="0" applyNumberFormat="1" applyFont="1" applyFill="1" applyBorder="1" applyAlignment="1">
      <alignment horizontal="center" vertical="center" wrapText="1"/>
    </xf>
    <xf numFmtId="171" fontId="68" fillId="35" borderId="45" xfId="0" applyNumberFormat="1" applyFont="1" applyFill="1" applyBorder="1" applyAlignment="1">
      <alignment horizontal="right" vertical="center" wrapText="1"/>
    </xf>
    <xf numFmtId="0" fontId="63" fillId="0" borderId="0" xfId="0" applyFont="1" applyAlignment="1">
      <alignment horizontal="center" vertical="center" wrapText="1"/>
    </xf>
    <xf numFmtId="173" fontId="68" fillId="35" borderId="25" xfId="86" applyNumberFormat="1" applyFont="1" applyFill="1" applyBorder="1" applyAlignment="1">
      <alignment horizontal="center" vertical="center" wrapText="1"/>
    </xf>
    <xf numFmtId="4" fontId="68" fillId="35" borderId="26" xfId="98" applyNumberFormat="1" applyFont="1" applyFill="1" applyBorder="1" applyAlignment="1">
      <alignment horizontal="center" vertical="center" wrapText="1"/>
    </xf>
    <xf numFmtId="171" fontId="68" fillId="35" borderId="26" xfId="0" applyNumberFormat="1" applyFont="1" applyFill="1" applyBorder="1" applyAlignment="1">
      <alignment horizontal="right" vertical="center" wrapText="1"/>
    </xf>
    <xf numFmtId="0" fontId="68" fillId="35" borderId="30" xfId="0" applyFont="1" applyFill="1" applyBorder="1" applyAlignment="1">
      <alignment horizontal="center" vertical="center" wrapText="1"/>
    </xf>
    <xf numFmtId="43" fontId="63" fillId="0" borderId="0" xfId="98" applyFont="1" applyAlignment="1">
      <alignment horizontal="center" vertical="center" wrapText="1"/>
    </xf>
    <xf numFmtId="43" fontId="68" fillId="35" borderId="26" xfId="98" applyFont="1" applyFill="1" applyBorder="1" applyAlignment="1">
      <alignment horizontal="center" vertical="center" wrapText="1"/>
    </xf>
    <xf numFmtId="8" fontId="68" fillId="35" borderId="44" xfId="0" applyNumberFormat="1" applyFont="1" applyFill="1" applyBorder="1" applyAlignment="1">
      <alignment horizontal="center" vertical="center" wrapText="1"/>
    </xf>
    <xf numFmtId="171" fontId="68" fillId="35" borderId="45" xfId="0" applyNumberFormat="1" applyFont="1" applyFill="1" applyBorder="1" applyAlignment="1">
      <alignment horizontal="center" vertical="center" wrapText="1"/>
    </xf>
    <xf numFmtId="0" fontId="63" fillId="36" borderId="0" xfId="0" applyFont="1" applyFill="1" applyAlignment="1">
      <alignment wrapText="1"/>
    </xf>
    <xf numFmtId="0" fontId="63" fillId="36" borderId="50" xfId="0" applyFont="1" applyFill="1" applyBorder="1" applyAlignment="1">
      <alignment wrapText="1"/>
    </xf>
    <xf numFmtId="0" fontId="63" fillId="36" borderId="64" xfId="0" applyFont="1" applyFill="1" applyBorder="1" applyAlignment="1">
      <alignment wrapText="1"/>
    </xf>
    <xf numFmtId="4" fontId="61" fillId="36" borderId="50" xfId="0" applyNumberFormat="1" applyFont="1" applyFill="1" applyBorder="1" applyAlignment="1">
      <alignment horizontal="center" vertical="center" wrapText="1"/>
    </xf>
    <xf numFmtId="4" fontId="61" fillId="36" borderId="0" xfId="0" applyNumberFormat="1" applyFont="1" applyFill="1" applyAlignment="1">
      <alignment horizontal="center" vertical="center" wrapText="1"/>
    </xf>
    <xf numFmtId="4" fontId="63" fillId="36" borderId="51" xfId="0" applyNumberFormat="1" applyFont="1" applyFill="1" applyBorder="1" applyAlignment="1">
      <alignment horizontal="center" vertical="center" wrapText="1"/>
    </xf>
    <xf numFmtId="171" fontId="63" fillId="36" borderId="0" xfId="0" applyNumberFormat="1" applyFont="1" applyFill="1" applyAlignment="1">
      <alignment horizontal="center" vertical="center" wrapText="1"/>
    </xf>
    <xf numFmtId="171" fontId="63" fillId="36" borderId="51" xfId="0" applyNumberFormat="1" applyFont="1" applyFill="1" applyBorder="1" applyAlignment="1">
      <alignment horizontal="right" vertical="center" wrapText="1"/>
    </xf>
    <xf numFmtId="173" fontId="65" fillId="36" borderId="50" xfId="86" applyNumberFormat="1" applyFont="1" applyFill="1" applyBorder="1" applyAlignment="1">
      <alignment horizontal="center" vertical="center" wrapText="1"/>
    </xf>
    <xf numFmtId="171" fontId="63" fillId="36" borderId="0" xfId="0" applyNumberFormat="1" applyFont="1" applyFill="1" applyAlignment="1">
      <alignment horizontal="right" vertical="center" wrapText="1"/>
    </xf>
    <xf numFmtId="0" fontId="63" fillId="36" borderId="51" xfId="0" applyFont="1" applyFill="1" applyBorder="1" applyAlignment="1">
      <alignment horizontal="center" vertical="center" wrapText="1"/>
    </xf>
    <xf numFmtId="173" fontId="63" fillId="36" borderId="71" xfId="86" applyNumberFormat="1" applyFont="1" applyFill="1" applyBorder="1" applyAlignment="1">
      <alignment horizontal="center" vertical="center" wrapText="1"/>
    </xf>
    <xf numFmtId="43" fontId="63" fillId="36" borderId="22" xfId="98" applyFont="1" applyFill="1" applyBorder="1" applyAlignment="1">
      <alignment horizontal="center" vertical="center" wrapText="1"/>
    </xf>
    <xf numFmtId="171" fontId="63" fillId="36" borderId="22" xfId="0" applyNumberFormat="1" applyFont="1" applyFill="1" applyBorder="1" applyAlignment="1">
      <alignment horizontal="right" vertical="center" wrapText="1"/>
    </xf>
    <xf numFmtId="8" fontId="63" fillId="36" borderId="50" xfId="0" applyNumberFormat="1" applyFont="1" applyFill="1" applyBorder="1" applyAlignment="1">
      <alignment horizontal="center" vertical="center" wrapText="1"/>
    </xf>
    <xf numFmtId="171" fontId="63" fillId="36" borderId="51" xfId="0" applyNumberFormat="1" applyFont="1" applyFill="1" applyBorder="1" applyAlignment="1">
      <alignment horizontal="center" vertical="center" wrapText="1"/>
    </xf>
    <xf numFmtId="0" fontId="61" fillId="0" borderId="79" xfId="0" applyFont="1" applyBorder="1" applyAlignment="1">
      <alignment horizontal="left"/>
    </xf>
    <xf numFmtId="0" fontId="61" fillId="0" borderId="80" xfId="0" applyFont="1" applyBorder="1"/>
    <xf numFmtId="0" fontId="61" fillId="0" borderId="81" xfId="0" applyFont="1" applyBorder="1"/>
    <xf numFmtId="4" fontId="69" fillId="0" borderId="82" xfId="98" applyNumberFormat="1" applyFont="1" applyBorder="1" applyAlignment="1">
      <alignment vertical="top" wrapText="1" readingOrder="1"/>
    </xf>
    <xf numFmtId="4" fontId="63" fillId="0" borderId="82" xfId="0" applyNumberFormat="1" applyFont="1" applyBorder="1"/>
    <xf numFmtId="171" fontId="61" fillId="0" borderId="82" xfId="0" applyNumberFormat="1" applyFont="1" applyBorder="1"/>
    <xf numFmtId="171" fontId="61" fillId="37" borderId="83" xfId="0" applyNumberFormat="1" applyFont="1" applyFill="1" applyBorder="1" applyAlignment="1">
      <alignment horizontal="right" vertical="center" wrapText="1"/>
    </xf>
    <xf numFmtId="173" fontId="67" fillId="0" borderId="84" xfId="86" applyNumberFormat="1" applyFont="1" applyBorder="1"/>
    <xf numFmtId="4" fontId="67" fillId="0" borderId="82" xfId="98" applyNumberFormat="1" applyFont="1" applyBorder="1"/>
    <xf numFmtId="171" fontId="63" fillId="37" borderId="82" xfId="0" applyNumberFormat="1" applyFont="1" applyFill="1" applyBorder="1" applyAlignment="1">
      <alignment horizontal="right"/>
    </xf>
    <xf numFmtId="44" fontId="61" fillId="0" borderId="83" xfId="0" applyNumberFormat="1" applyFont="1" applyBorder="1"/>
    <xf numFmtId="173" fontId="61" fillId="0" borderId="84" xfId="86" applyNumberFormat="1" applyFont="1" applyBorder="1"/>
    <xf numFmtId="43" fontId="61" fillId="0" borderId="82" xfId="98" applyFont="1" applyBorder="1"/>
    <xf numFmtId="44" fontId="61" fillId="0" borderId="82" xfId="0" applyNumberFormat="1" applyFont="1" applyBorder="1"/>
    <xf numFmtId="171" fontId="63" fillId="37" borderId="82" xfId="0" applyNumberFormat="1" applyFont="1" applyFill="1" applyBorder="1" applyAlignment="1">
      <alignment horizontal="right" vertical="center" wrapText="1"/>
    </xf>
    <xf numFmtId="8" fontId="61" fillId="0" borderId="84" xfId="0" applyNumberFormat="1" applyFont="1" applyBorder="1"/>
    <xf numFmtId="171" fontId="63" fillId="37" borderId="83" xfId="0" applyNumberFormat="1" applyFont="1" applyFill="1" applyBorder="1"/>
    <xf numFmtId="0" fontId="61" fillId="0" borderId="85" xfId="0" applyFont="1" applyBorder="1" applyAlignment="1">
      <alignment horizontal="left"/>
    </xf>
    <xf numFmtId="0" fontId="61" fillId="0" borderId="86" xfId="0" applyFont="1" applyBorder="1"/>
    <xf numFmtId="0" fontId="61" fillId="0" borderId="87" xfId="0" applyFont="1" applyBorder="1"/>
    <xf numFmtId="4" fontId="61" fillId="0" borderId="88" xfId="0" applyNumberFormat="1" applyFont="1" applyBorder="1"/>
    <xf numFmtId="4" fontId="63" fillId="0" borderId="88" xfId="0" applyNumberFormat="1" applyFont="1" applyBorder="1"/>
    <xf numFmtId="171" fontId="61" fillId="0" borderId="88" xfId="0" applyNumberFormat="1" applyFont="1" applyBorder="1"/>
    <xf numFmtId="171" fontId="61" fillId="37" borderId="89" xfId="0" applyNumberFormat="1" applyFont="1" applyFill="1" applyBorder="1" applyAlignment="1">
      <alignment horizontal="right"/>
    </xf>
    <xf numFmtId="173" fontId="67" fillId="0" borderId="90" xfId="86" applyNumberFormat="1" applyFont="1" applyBorder="1"/>
    <xf numFmtId="4" fontId="67" fillId="0" borderId="88" xfId="0" applyNumberFormat="1" applyFont="1" applyBorder="1"/>
    <xf numFmtId="171" fontId="63" fillId="37" borderId="88" xfId="0" applyNumberFormat="1" applyFont="1" applyFill="1" applyBorder="1" applyAlignment="1">
      <alignment horizontal="right"/>
    </xf>
    <xf numFmtId="44" fontId="61" fillId="0" borderId="89" xfId="0" applyNumberFormat="1" applyFont="1" applyBorder="1"/>
    <xf numFmtId="173" fontId="61" fillId="0" borderId="90" xfId="86" applyNumberFormat="1" applyFont="1" applyBorder="1"/>
    <xf numFmtId="43" fontId="61" fillId="0" borderId="88" xfId="98" applyFont="1" applyBorder="1"/>
    <xf numFmtId="44" fontId="61" fillId="0" borderId="88" xfId="0" applyNumberFormat="1" applyFont="1" applyBorder="1"/>
    <xf numFmtId="8" fontId="61" fillId="0" borderId="90" xfId="0" applyNumberFormat="1" applyFont="1" applyBorder="1"/>
    <xf numFmtId="171" fontId="63" fillId="37" borderId="89" xfId="0" applyNumberFormat="1" applyFont="1" applyFill="1" applyBorder="1"/>
    <xf numFmtId="4" fontId="69" fillId="0" borderId="88" xfId="98" applyNumberFormat="1" applyFont="1" applyBorder="1" applyAlignment="1">
      <alignment vertical="top" wrapText="1" readingOrder="1"/>
    </xf>
    <xf numFmtId="171" fontId="61" fillId="37" borderId="89" xfId="0" applyNumberFormat="1" applyFont="1" applyFill="1" applyBorder="1" applyAlignment="1">
      <alignment horizontal="right" vertical="center" wrapText="1"/>
    </xf>
    <xf numFmtId="4" fontId="67" fillId="0" borderId="88" xfId="98" applyNumberFormat="1" applyFont="1" applyBorder="1"/>
    <xf numFmtId="171" fontId="63" fillId="37" borderId="88" xfId="0" applyNumberFormat="1" applyFont="1" applyFill="1" applyBorder="1" applyAlignment="1">
      <alignment horizontal="right" vertical="center" wrapText="1"/>
    </xf>
    <xf numFmtId="49" fontId="70" fillId="34" borderId="85" xfId="0" applyNumberFormat="1" applyFont="1" applyFill="1" applyBorder="1" applyAlignment="1">
      <alignment horizontal="left" vertical="center"/>
    </xf>
    <xf numFmtId="4" fontId="71" fillId="0" borderId="88" xfId="98" applyNumberFormat="1" applyFont="1" applyBorder="1" applyAlignment="1">
      <alignment vertical="top" wrapText="1" readingOrder="1"/>
    </xf>
    <xf numFmtId="171" fontId="61" fillId="0" borderId="0" xfId="0" applyNumberFormat="1" applyFont="1"/>
    <xf numFmtId="0" fontId="72" fillId="0" borderId="0" xfId="0" applyFont="1"/>
    <xf numFmtId="9" fontId="63" fillId="0" borderId="0" xfId="86" applyFont="1"/>
    <xf numFmtId="9" fontId="63" fillId="0" borderId="0" xfId="86" applyFont="1" applyAlignment="1">
      <alignment horizontal="right"/>
    </xf>
    <xf numFmtId="43" fontId="63" fillId="0" borderId="0" xfId="98" applyFont="1" applyAlignment="1">
      <alignment horizontal="left"/>
    </xf>
    <xf numFmtId="174" fontId="61" fillId="0" borderId="0" xfId="44" applyNumberFormat="1" applyFont="1"/>
    <xf numFmtId="4" fontId="65" fillId="36" borderId="0" xfId="98" applyNumberFormat="1" applyFont="1" applyFill="1" applyAlignment="1">
      <alignment horizontal="center" vertical="center" wrapText="1"/>
    </xf>
    <xf numFmtId="174" fontId="68" fillId="35" borderId="26" xfId="39" applyNumberFormat="1" applyFont="1" applyFill="1" applyBorder="1" applyAlignment="1">
      <alignment horizontal="center" vertical="center" wrapText="1"/>
    </xf>
    <xf numFmtId="174" fontId="68" fillId="35" borderId="30" xfId="39" applyNumberFormat="1" applyFont="1" applyFill="1" applyBorder="1" applyAlignment="1">
      <alignment horizontal="center" vertical="center" wrapText="1"/>
    </xf>
    <xf numFmtId="174" fontId="63" fillId="36" borderId="22" xfId="39" applyNumberFormat="1" applyFont="1" applyFill="1" applyBorder="1" applyAlignment="1">
      <alignment horizontal="center" vertical="center" wrapText="1"/>
    </xf>
    <xf numFmtId="174" fontId="63" fillId="36" borderId="72" xfId="39" applyNumberFormat="1" applyFont="1" applyFill="1" applyBorder="1" applyAlignment="1">
      <alignment horizontal="center" vertical="center" wrapText="1"/>
    </xf>
    <xf numFmtId="44" fontId="61" fillId="0" borderId="83" xfId="39" applyFont="1" applyBorder="1"/>
    <xf numFmtId="44" fontId="61" fillId="0" borderId="89" xfId="39" applyFont="1" applyBorder="1"/>
    <xf numFmtId="0" fontId="58" fillId="0" borderId="0" xfId="0" applyFont="1" applyAlignment="1">
      <alignment horizontal="center"/>
    </xf>
    <xf numFmtId="44" fontId="0" fillId="0" borderId="75" xfId="0" applyNumberFormat="1" applyBorder="1"/>
    <xf numFmtId="44" fontId="0" fillId="0" borderId="74" xfId="0" applyNumberFormat="1" applyBorder="1"/>
    <xf numFmtId="44" fontId="0" fillId="0" borderId="76" xfId="0" applyNumberFormat="1" applyBorder="1"/>
    <xf numFmtId="44" fontId="0" fillId="0" borderId="77" xfId="0" applyNumberFormat="1" applyBorder="1"/>
    <xf numFmtId="6" fontId="73" fillId="0" borderId="24" xfId="0" applyNumberFormat="1" applyFont="1" applyBorder="1"/>
    <xf numFmtId="0" fontId="50" fillId="0" borderId="38" xfId="0" applyFont="1" applyBorder="1" applyAlignment="1">
      <alignment vertical="top" wrapText="1"/>
    </xf>
    <xf numFmtId="0" fontId="47" fillId="0" borderId="45" xfId="0" applyFont="1" applyBorder="1" applyAlignment="1">
      <alignment vertical="top" wrapText="1"/>
    </xf>
    <xf numFmtId="0" fontId="47" fillId="0" borderId="38" xfId="0" applyFont="1" applyBorder="1" applyAlignment="1">
      <alignment vertical="top" wrapText="1"/>
    </xf>
    <xf numFmtId="0" fontId="47" fillId="0" borderId="40" xfId="0" applyFont="1" applyBorder="1" applyAlignment="1">
      <alignment vertical="top" wrapText="1"/>
    </xf>
    <xf numFmtId="169" fontId="42" fillId="0" borderId="55" xfId="0" applyNumberFormat="1" applyFont="1" applyBorder="1" applyAlignment="1">
      <alignment horizontal="center"/>
    </xf>
    <xf numFmtId="169" fontId="4" fillId="0" borderId="40" xfId="0" applyNumberFormat="1" applyFont="1" applyBorder="1" applyAlignment="1">
      <alignment horizontal="center"/>
    </xf>
    <xf numFmtId="0" fontId="52" fillId="0" borderId="0" xfId="0" applyFont="1"/>
    <xf numFmtId="4" fontId="60" fillId="0" borderId="0" xfId="98" applyNumberFormat="1" applyFont="1"/>
    <xf numFmtId="4" fontId="57" fillId="0" borderId="0" xfId="98" applyNumberFormat="1" applyFont="1"/>
    <xf numFmtId="174" fontId="57" fillId="0" borderId="0" xfId="44" applyNumberFormat="1" applyFont="1"/>
    <xf numFmtId="44" fontId="58" fillId="0" borderId="0" xfId="44" applyFont="1"/>
    <xf numFmtId="9" fontId="58" fillId="0" borderId="0" xfId="86" applyFont="1"/>
    <xf numFmtId="44" fontId="57" fillId="0" borderId="0" xfId="44" applyFont="1" applyAlignment="1">
      <alignment horizontal="center"/>
    </xf>
    <xf numFmtId="171" fontId="61" fillId="0" borderId="89" xfId="0" applyNumberFormat="1" applyFont="1" applyBorder="1" applyAlignment="1">
      <alignment horizontal="right"/>
    </xf>
    <xf numFmtId="173" fontId="67" fillId="0" borderId="90" xfId="86" applyNumberFormat="1" applyFont="1" applyFill="1" applyBorder="1"/>
    <xf numFmtId="171" fontId="63" fillId="0" borderId="88" xfId="0" applyNumberFormat="1" applyFont="1" applyBorder="1" applyAlignment="1">
      <alignment horizontal="right" vertical="center" wrapText="1"/>
    </xf>
    <xf numFmtId="173" fontId="61" fillId="0" borderId="90" xfId="86" applyNumberFormat="1" applyFont="1" applyFill="1" applyBorder="1"/>
    <xf numFmtId="43" fontId="61" fillId="0" borderId="88" xfId="98" applyFont="1" applyFill="1" applyBorder="1"/>
    <xf numFmtId="171" fontId="63" fillId="0" borderId="88" xfId="0" applyNumberFormat="1" applyFont="1" applyBorder="1" applyAlignment="1">
      <alignment horizontal="right"/>
    </xf>
    <xf numFmtId="44" fontId="61" fillId="0" borderId="89" xfId="39" applyFont="1" applyFill="1" applyBorder="1"/>
    <xf numFmtId="171" fontId="63" fillId="0" borderId="83" xfId="0" applyNumberFormat="1" applyFont="1" applyBorder="1"/>
    <xf numFmtId="4" fontId="69" fillId="0" borderId="88" xfId="98" applyNumberFormat="1" applyFont="1" applyFill="1" applyBorder="1" applyAlignment="1">
      <alignment vertical="top" wrapText="1" readingOrder="1"/>
    </xf>
    <xf numFmtId="171" fontId="61" fillId="0" borderId="89" xfId="0" applyNumberFormat="1" applyFont="1" applyBorder="1" applyAlignment="1">
      <alignment horizontal="right" vertical="center" wrapText="1"/>
    </xf>
    <xf numFmtId="4" fontId="67" fillId="0" borderId="88" xfId="98" applyNumberFormat="1" applyFont="1" applyFill="1" applyBorder="1"/>
    <xf numFmtId="171" fontId="63" fillId="0" borderId="89" xfId="0" applyNumberFormat="1" applyFont="1" applyBorder="1"/>
    <xf numFmtId="0" fontId="36" fillId="0" borderId="0" xfId="0" applyFont="1"/>
    <xf numFmtId="0" fontId="4" fillId="29" borderId="24" xfId="0" applyFont="1" applyFill="1" applyBorder="1"/>
    <xf numFmtId="0" fontId="4" fillId="29" borderId="24" xfId="0" applyFont="1" applyFill="1" applyBorder="1" applyAlignment="1">
      <alignment horizontal="left"/>
    </xf>
    <xf numFmtId="0" fontId="4" fillId="0" borderId="23" xfId="0" applyFont="1" applyBorder="1"/>
    <xf numFmtId="2" fontId="4" fillId="0" borderId="23" xfId="0" applyNumberFormat="1" applyFont="1" applyBorder="1"/>
    <xf numFmtId="44" fontId="4" fillId="0" borderId="23" xfId="39" applyFont="1" applyBorder="1"/>
    <xf numFmtId="0" fontId="35" fillId="0" borderId="0" xfId="1" applyFont="1"/>
    <xf numFmtId="0" fontId="4" fillId="0" borderId="24" xfId="0" applyFont="1" applyBorder="1"/>
    <xf numFmtId="44" fontId="4" fillId="0" borderId="24" xfId="39" applyFont="1" applyBorder="1"/>
    <xf numFmtId="0" fontId="4" fillId="26" borderId="34" xfId="0" applyFont="1" applyFill="1" applyBorder="1"/>
    <xf numFmtId="0" fontId="4" fillId="26" borderId="35" xfId="0" applyFont="1" applyFill="1" applyBorder="1"/>
    <xf numFmtId="44" fontId="4" fillId="26" borderId="36" xfId="39" applyFont="1" applyFill="1" applyBorder="1"/>
    <xf numFmtId="44" fontId="4" fillId="0" borderId="19" xfId="39" applyFont="1" applyBorder="1"/>
    <xf numFmtId="44" fontId="4" fillId="0" borderId="0" xfId="39" applyFont="1" applyBorder="1"/>
    <xf numFmtId="0" fontId="53" fillId="26" borderId="52" xfId="0" applyFont="1" applyFill="1" applyBorder="1" applyAlignment="1">
      <alignment horizontal="center" vertical="center" wrapText="1"/>
    </xf>
    <xf numFmtId="0" fontId="4" fillId="26" borderId="19" xfId="0" applyFont="1" applyFill="1" applyBorder="1" applyProtection="1">
      <protection locked="0"/>
    </xf>
    <xf numFmtId="44" fontId="4" fillId="27" borderId="33" xfId="39" applyFont="1" applyFill="1" applyBorder="1" applyAlignment="1">
      <alignment horizontal="center" vertical="center"/>
    </xf>
    <xf numFmtId="44" fontId="4" fillId="27" borderId="31" xfId="39" applyFont="1" applyFill="1" applyBorder="1" applyAlignment="1">
      <alignment horizontal="center" vertical="center"/>
    </xf>
    <xf numFmtId="44" fontId="4" fillId="0" borderId="33" xfId="39" applyFont="1" applyFill="1" applyBorder="1" applyAlignment="1">
      <alignment horizontal="center"/>
    </xf>
    <xf numFmtId="44" fontId="4" fillId="0" borderId="31" xfId="39" applyFont="1" applyFill="1" applyBorder="1" applyAlignment="1">
      <alignment horizontal="center"/>
    </xf>
    <xf numFmtId="44" fontId="4" fillId="0" borderId="32" xfId="39" applyFont="1" applyFill="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58" fillId="0" borderId="0" xfId="0" applyFont="1" applyAlignment="1">
      <alignment horizontal="center"/>
    </xf>
    <xf numFmtId="0" fontId="4" fillId="0" borderId="54" xfId="0" applyFont="1" applyBorder="1" applyAlignment="1">
      <alignment horizontal="center"/>
    </xf>
    <xf numFmtId="3" fontId="42" fillId="31" borderId="19" xfId="0" applyNumberFormat="1" applyFont="1" applyFill="1" applyBorder="1" applyAlignment="1" applyProtection="1">
      <alignment horizontal="center"/>
      <protection locked="0"/>
    </xf>
    <xf numFmtId="3" fontId="1" fillId="31" borderId="19" xfId="0" applyNumberFormat="1" applyFont="1" applyFill="1" applyBorder="1" applyAlignment="1" applyProtection="1">
      <alignment horizontal="center"/>
      <protection locked="0"/>
    </xf>
  </cellXfs>
  <cellStyles count="99">
    <cellStyle name="%" xfId="1" xr:uid="{00000000-0005-0000-0000-000000000000}"/>
    <cellStyle name="]_x000d__x000a_Zoomed=1_x000d__x000a_Row=0_x000d__x000a_Column=0_x000d__x000a_Height=0_x000d__x000a_Width=0_x000d__x000a_FontName=FoxFont_x000d__x000a_FontStyle=0_x000d__x000a_FontSize=9_x000d__x000a_PrtFontName=FoxPrin" xfId="2" xr:uid="{00000000-0005-0000-0000-000001000000}"/>
    <cellStyle name="20% - Accent1" xfId="3" builtinId="30" customBuiltin="1"/>
    <cellStyle name="20% - Accent2" xfId="4" builtinId="34" customBuiltin="1"/>
    <cellStyle name="20% - Accent3" xfId="5" builtinId="38" customBuiltin="1"/>
    <cellStyle name="20% - Accent4" xfId="6" builtinId="42" customBuiltin="1"/>
    <cellStyle name="20% - Accent5" xfId="7" builtinId="46" customBuiltin="1"/>
    <cellStyle name="20% - Accent6" xfId="8" builtinId="50" customBuiltin="1"/>
    <cellStyle name="40% - Accent1" xfId="9" builtinId="31" customBuiltin="1"/>
    <cellStyle name="40% - Accent2" xfId="10" builtinId="35" customBuiltin="1"/>
    <cellStyle name="40% - Accent3" xfId="11" builtinId="39" customBuiltin="1"/>
    <cellStyle name="40% - Accent4" xfId="12" builtinId="43" customBuiltin="1"/>
    <cellStyle name="40% - Accent5" xfId="13" builtinId="47" customBuiltin="1"/>
    <cellStyle name="40% - Accent6" xfId="14" builtinId="51" customBuiltin="1"/>
    <cellStyle name="60% - Accent1" xfId="15" builtinId="32" customBuiltin="1"/>
    <cellStyle name="60% - Accent2" xfId="16" builtinId="36" customBuiltin="1"/>
    <cellStyle name="60% - Accent3" xfId="17" builtinId="40" customBuiltin="1"/>
    <cellStyle name="60% - Accent4" xfId="18" builtinId="44" customBuiltin="1"/>
    <cellStyle name="60% - Accent5" xfId="19" builtinId="48" customBuiltin="1"/>
    <cellStyle name="60% - Accent6" xfId="20" builtinId="52" customBuiltin="1"/>
    <cellStyle name="Accent1" xfId="21" builtinId="29" customBuiltin="1"/>
    <cellStyle name="Accent2" xfId="22" builtinId="33" customBuiltin="1"/>
    <cellStyle name="Accent3" xfId="23" builtinId="37" customBuiltin="1"/>
    <cellStyle name="Accent4" xfId="24" builtinId="41" customBuiltin="1"/>
    <cellStyle name="Accent5" xfId="25" builtinId="45" customBuiltin="1"/>
    <cellStyle name="Accent6" xfId="26" builtinId="49" customBuiltin="1"/>
    <cellStyle name="Bad" xfId="27" builtinId="27" customBuiltin="1"/>
    <cellStyle name="Calculation" xfId="28" builtinId="22" customBuiltin="1"/>
    <cellStyle name="Check Cell" xfId="29" builtinId="23" customBuiltin="1"/>
    <cellStyle name="Comma" xfId="98" builtinId="3"/>
    <cellStyle name="Comma 2" xfId="30" xr:uid="{00000000-0005-0000-0000-00001D000000}"/>
    <cellStyle name="Comma 2 2" xfId="31" xr:uid="{00000000-0005-0000-0000-00001E000000}"/>
    <cellStyle name="Comma 3" xfId="32" xr:uid="{00000000-0005-0000-0000-00001F000000}"/>
    <cellStyle name="Comma 3 2" xfId="33" xr:uid="{00000000-0005-0000-0000-000020000000}"/>
    <cellStyle name="Comma 4" xfId="34" xr:uid="{00000000-0005-0000-0000-000021000000}"/>
    <cellStyle name="Comma 5" xfId="35" xr:uid="{00000000-0005-0000-0000-000022000000}"/>
    <cellStyle name="Comma0" xfId="36" xr:uid="{00000000-0005-0000-0000-000023000000}"/>
    <cellStyle name="Contents" xfId="37" xr:uid="{00000000-0005-0000-0000-000024000000}"/>
    <cellStyle name="CURR" xfId="38" xr:uid="{00000000-0005-0000-0000-000025000000}"/>
    <cellStyle name="Currency" xfId="39" builtinId="4"/>
    <cellStyle name="Currency 2" xfId="40" xr:uid="{00000000-0005-0000-0000-000027000000}"/>
    <cellStyle name="Currency 2 2" xfId="41" xr:uid="{00000000-0005-0000-0000-000028000000}"/>
    <cellStyle name="Currency 3" xfId="42" xr:uid="{00000000-0005-0000-0000-000029000000}"/>
    <cellStyle name="Currency 3 2" xfId="43" xr:uid="{00000000-0005-0000-0000-00002A000000}"/>
    <cellStyle name="Currency 4" xfId="44" xr:uid="{00000000-0005-0000-0000-00002B000000}"/>
    <cellStyle name="Currency 5" xfId="45" xr:uid="{00000000-0005-0000-0000-00002C000000}"/>
    <cellStyle name="Currency0" xfId="46" xr:uid="{00000000-0005-0000-0000-00002D000000}"/>
    <cellStyle name="Date" xfId="47" xr:uid="{00000000-0005-0000-0000-00002E000000}"/>
    <cellStyle name="Explanatory Text" xfId="48" builtinId="53" customBuiltin="1"/>
    <cellStyle name="Fixed" xfId="49" xr:uid="{00000000-0005-0000-0000-000030000000}"/>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EAName" xfId="56" xr:uid="{00000000-0005-0000-0000-000037000000}"/>
    <cellStyle name="Linked Cell" xfId="57" builtinId="24" customBuiltin="1"/>
    <cellStyle name="Neutral" xfId="58" builtinId="28" customBuiltin="1"/>
    <cellStyle name="Normal" xfId="0" builtinId="0"/>
    <cellStyle name="Normal 2" xfId="59" xr:uid="{00000000-0005-0000-0000-00003B000000}"/>
    <cellStyle name="Normal 2 2" xfId="60" xr:uid="{00000000-0005-0000-0000-00003C000000}"/>
    <cellStyle name="Normal 2 3" xfId="61" xr:uid="{00000000-0005-0000-0000-00003D000000}"/>
    <cellStyle name="Normal 2 4" xfId="62" xr:uid="{00000000-0005-0000-0000-00003E000000}"/>
    <cellStyle name="Normal 2 5" xfId="63" xr:uid="{00000000-0005-0000-0000-00003F000000}"/>
    <cellStyle name="Normal 3" xfId="64" xr:uid="{00000000-0005-0000-0000-000040000000}"/>
    <cellStyle name="Normal 3 2" xfId="65" xr:uid="{00000000-0005-0000-0000-000041000000}"/>
    <cellStyle name="Normal 3 3" xfId="66" xr:uid="{00000000-0005-0000-0000-000042000000}"/>
    <cellStyle name="Normal 4" xfId="67" xr:uid="{00000000-0005-0000-0000-000043000000}"/>
    <cellStyle name="Normal 4 2" xfId="68" xr:uid="{00000000-0005-0000-0000-000044000000}"/>
    <cellStyle name="Normal 5" xfId="69" xr:uid="{00000000-0005-0000-0000-000045000000}"/>
    <cellStyle name="Normal 6" xfId="70" xr:uid="{00000000-0005-0000-0000-000046000000}"/>
    <cellStyle name="Normal 7" xfId="71" xr:uid="{00000000-0005-0000-0000-000047000000}"/>
    <cellStyle name="Normaltext" xfId="72" xr:uid="{00000000-0005-0000-0000-000048000000}"/>
    <cellStyle name="Normgrndtot" xfId="73" xr:uid="{00000000-0005-0000-0000-000049000000}"/>
    <cellStyle name="Normsubtotal" xfId="74" xr:uid="{00000000-0005-0000-0000-00004A000000}"/>
    <cellStyle name="Normtextbold" xfId="75" xr:uid="{00000000-0005-0000-0000-00004B000000}"/>
    <cellStyle name="Normtinteger" xfId="76" xr:uid="{00000000-0005-0000-0000-00004C000000}"/>
    <cellStyle name="Normtotal" xfId="77" xr:uid="{00000000-0005-0000-0000-00004D000000}"/>
    <cellStyle name="Note" xfId="78" builtinId="10" customBuiltin="1"/>
    <cellStyle name="Number" xfId="79" xr:uid="{00000000-0005-0000-0000-00004F000000}"/>
    <cellStyle name="Output" xfId="80" builtinId="21" customBuiltin="1"/>
    <cellStyle name="Output Amounts" xfId="81" xr:uid="{00000000-0005-0000-0000-000051000000}"/>
    <cellStyle name="Output Column Headings" xfId="82" xr:uid="{00000000-0005-0000-0000-000052000000}"/>
    <cellStyle name="Output Line Items" xfId="83" xr:uid="{00000000-0005-0000-0000-000053000000}"/>
    <cellStyle name="Output Report Heading" xfId="84" xr:uid="{00000000-0005-0000-0000-000054000000}"/>
    <cellStyle name="Output Report Title" xfId="85" xr:uid="{00000000-0005-0000-0000-000055000000}"/>
    <cellStyle name="Per cent" xfId="86" builtinId="5"/>
    <cellStyle name="Percent 2" xfId="87" xr:uid="{00000000-0005-0000-0000-000057000000}"/>
    <cellStyle name="Percent 2 2" xfId="88" xr:uid="{00000000-0005-0000-0000-000058000000}"/>
    <cellStyle name="sdso" xfId="89" xr:uid="{00000000-0005-0000-0000-000059000000}"/>
    <cellStyle name="Shadgrndtot" xfId="90" xr:uid="{00000000-0005-0000-0000-00005A000000}"/>
    <cellStyle name="Shadinteger" xfId="91" xr:uid="{00000000-0005-0000-0000-00005B000000}"/>
    <cellStyle name="Shadsubtotal" xfId="92" xr:uid="{00000000-0005-0000-0000-00005C000000}"/>
    <cellStyle name="Shadtext" xfId="93" xr:uid="{00000000-0005-0000-0000-00005D000000}"/>
    <cellStyle name="Shadtotal" xfId="94" xr:uid="{00000000-0005-0000-0000-00005E000000}"/>
    <cellStyle name="Title" xfId="95" builtinId="15" customBuiltin="1"/>
    <cellStyle name="Total" xfId="96" builtinId="25" customBuiltin="1"/>
    <cellStyle name="Warning Text" xfId="97" builtinId="11" customBuiltin="1"/>
  </cellStyles>
  <dxfs count="9">
    <dxf>
      <font>
        <condense val="0"/>
        <extend val="0"/>
        <color rgb="FF9C0006"/>
      </font>
      <fill>
        <patternFill>
          <bgColor rgb="FFFFC7CE"/>
        </patternFill>
      </fill>
    </dxf>
    <dxf>
      <font>
        <condense val="0"/>
        <extend val="0"/>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0"/>
  </sheetPr>
  <dimension ref="B1:G31"/>
  <sheetViews>
    <sheetView zoomScaleNormal="100" workbookViewId="0">
      <selection activeCell="E3" sqref="E3"/>
    </sheetView>
  </sheetViews>
  <sheetFormatPr defaultColWidth="9.26953125" defaultRowHeight="13" x14ac:dyDescent="0.25"/>
  <cols>
    <col min="1" max="1" width="2.7265625" style="23" customWidth="1"/>
    <col min="2" max="2" width="18.453125" style="24" customWidth="1"/>
    <col min="3" max="3" width="104" style="23" customWidth="1"/>
    <col min="4" max="16384" width="9.26953125" style="23"/>
  </cols>
  <sheetData>
    <row r="1" spans="2:7" ht="15.5" x14ac:dyDescent="0.25">
      <c r="B1" s="30" t="s">
        <v>0</v>
      </c>
    </row>
    <row r="2" spans="2:7" ht="13.5" thickBot="1" x14ac:dyDescent="0.3"/>
    <row r="3" spans="2:7" ht="13.5" thickBot="1" x14ac:dyDescent="0.3">
      <c r="B3" s="42" t="s">
        <v>1</v>
      </c>
      <c r="C3" s="44"/>
    </row>
    <row r="4" spans="2:7" ht="125.15" customHeight="1" x14ac:dyDescent="0.25">
      <c r="B4" s="35"/>
      <c r="C4" s="174" t="s">
        <v>2</v>
      </c>
      <c r="G4" s="41"/>
    </row>
    <row r="5" spans="2:7" ht="94" customHeight="1" x14ac:dyDescent="0.25">
      <c r="B5" s="25"/>
      <c r="C5" s="26" t="s">
        <v>3</v>
      </c>
      <c r="G5" s="41"/>
    </row>
    <row r="6" spans="2:7" ht="31" customHeight="1" x14ac:dyDescent="0.25">
      <c r="B6" s="25">
        <v>1</v>
      </c>
      <c r="C6" s="26" t="s">
        <v>4</v>
      </c>
      <c r="G6" s="41"/>
    </row>
    <row r="7" spans="2:7" ht="44.15" customHeight="1" x14ac:dyDescent="0.25">
      <c r="B7" s="25">
        <v>2</v>
      </c>
      <c r="C7" s="26" t="s">
        <v>5</v>
      </c>
    </row>
    <row r="8" spans="2:7" ht="34.5" customHeight="1" x14ac:dyDescent="0.25">
      <c r="B8" s="25">
        <v>3</v>
      </c>
      <c r="C8" s="26" t="s">
        <v>6</v>
      </c>
    </row>
    <row r="9" spans="2:7" ht="42" customHeight="1" x14ac:dyDescent="0.25">
      <c r="B9" s="25">
        <v>4</v>
      </c>
      <c r="C9" s="26" t="s">
        <v>7</v>
      </c>
    </row>
    <row r="10" spans="2:7" ht="41.15" customHeight="1" x14ac:dyDescent="0.25">
      <c r="B10" s="25">
        <v>5</v>
      </c>
      <c r="C10" s="26" t="s">
        <v>8</v>
      </c>
    </row>
    <row r="11" spans="2:7" ht="41.15" customHeight="1" x14ac:dyDescent="0.25">
      <c r="B11" s="25">
        <v>6</v>
      </c>
      <c r="C11" s="26" t="s">
        <v>9</v>
      </c>
    </row>
    <row r="12" spans="2:7" ht="50.5" customHeight="1" x14ac:dyDescent="0.25">
      <c r="B12" s="25">
        <v>7</v>
      </c>
      <c r="C12" s="26" t="s">
        <v>10</v>
      </c>
    </row>
    <row r="13" spans="2:7" ht="44.5" customHeight="1" x14ac:dyDescent="0.25">
      <c r="B13" s="25">
        <v>8</v>
      </c>
      <c r="C13" s="26" t="s">
        <v>11</v>
      </c>
    </row>
    <row r="14" spans="2:7" ht="88" x14ac:dyDescent="0.25">
      <c r="B14" s="25">
        <v>9</v>
      </c>
      <c r="C14" s="26" t="s">
        <v>12</v>
      </c>
    </row>
    <row r="15" spans="2:7" ht="58.15" customHeight="1" x14ac:dyDescent="0.25">
      <c r="B15" s="49">
        <v>10</v>
      </c>
      <c r="C15" s="26" t="s">
        <v>13</v>
      </c>
    </row>
    <row r="16" spans="2:7" ht="60" customHeight="1" x14ac:dyDescent="0.25">
      <c r="B16" s="27">
        <v>11</v>
      </c>
      <c r="C16" s="409" t="s">
        <v>14</v>
      </c>
    </row>
    <row r="17" spans="2:5" thickBot="1" x14ac:dyDescent="0.3">
      <c r="B17" s="23"/>
    </row>
    <row r="18" spans="2:5" ht="13.5" thickBot="1" x14ac:dyDescent="0.3">
      <c r="B18" s="42" t="s">
        <v>15</v>
      </c>
      <c r="C18" s="43"/>
    </row>
    <row r="19" spans="2:5" ht="189.75" customHeight="1" x14ac:dyDescent="0.25">
      <c r="B19" s="35">
        <v>12</v>
      </c>
      <c r="C19" s="407" t="s">
        <v>16</v>
      </c>
      <c r="E19" s="41"/>
    </row>
    <row r="20" spans="2:5" ht="65.25" customHeight="1" x14ac:dyDescent="0.25">
      <c r="B20" s="25">
        <v>13</v>
      </c>
      <c r="C20" s="406" t="s">
        <v>17</v>
      </c>
    </row>
    <row r="21" spans="2:5" ht="59.5" customHeight="1" thickBot="1" x14ac:dyDescent="0.3">
      <c r="B21" s="27">
        <v>14</v>
      </c>
      <c r="C21" s="409" t="s">
        <v>18</v>
      </c>
    </row>
    <row r="22" spans="2:5" thickBot="1" x14ac:dyDescent="0.3">
      <c r="B22" s="23"/>
    </row>
    <row r="23" spans="2:5" ht="13.5" thickBot="1" x14ac:dyDescent="0.3">
      <c r="B23" s="50" t="s">
        <v>19</v>
      </c>
      <c r="C23" s="51"/>
    </row>
    <row r="24" spans="2:5" ht="45.75" customHeight="1" x14ac:dyDescent="0.25">
      <c r="B24" s="35">
        <v>15</v>
      </c>
      <c r="C24" s="239" t="s">
        <v>20</v>
      </c>
    </row>
    <row r="25" spans="2:5" ht="43.5" customHeight="1" x14ac:dyDescent="0.25">
      <c r="B25" s="25">
        <v>16</v>
      </c>
      <c r="C25" s="238" t="s">
        <v>21</v>
      </c>
    </row>
    <row r="26" spans="2:5" ht="39" customHeight="1" x14ac:dyDescent="0.25">
      <c r="B26" s="25">
        <v>17</v>
      </c>
      <c r="C26" s="238" t="s">
        <v>22</v>
      </c>
    </row>
    <row r="27" spans="2:5" ht="25.5" customHeight="1" x14ac:dyDescent="0.25">
      <c r="B27" s="25">
        <v>18</v>
      </c>
      <c r="C27" s="238" t="s">
        <v>23</v>
      </c>
    </row>
    <row r="28" spans="2:5" ht="58.5" customHeight="1" x14ac:dyDescent="0.25">
      <c r="B28" s="25">
        <v>19</v>
      </c>
      <c r="C28" s="238" t="s">
        <v>24</v>
      </c>
    </row>
    <row r="29" spans="2:5" ht="53.15" customHeight="1" x14ac:dyDescent="0.25">
      <c r="B29" s="25">
        <v>20</v>
      </c>
      <c r="C29" s="238" t="s">
        <v>25</v>
      </c>
    </row>
    <row r="30" spans="2:5" ht="36.65" customHeight="1" x14ac:dyDescent="0.25">
      <c r="B30" s="52">
        <v>21</v>
      </c>
      <c r="C30" s="408" t="s">
        <v>26</v>
      </c>
    </row>
    <row r="31" spans="2:5" ht="43" customHeight="1" thickBot="1" x14ac:dyDescent="0.3">
      <c r="B31" s="27">
        <v>22</v>
      </c>
      <c r="C31" s="262" t="s">
        <v>27</v>
      </c>
    </row>
  </sheetData>
  <phoneticPr fontId="2" type="noConversion"/>
  <pageMargins left="0.23622047244094491" right="0.23622047244094491" top="0.47244094488188981" bottom="0.43307086614173229" header="0.27559055118110237" footer="0.23622047244094491"/>
  <pageSetup paperSize="9" scale="82" fitToHeight="2" orientation="portrait" r:id="rId1"/>
  <headerFooter alignWithMargins="0"/>
  <rowBreaks count="1" manualBreakCount="1">
    <brk id="16" min="1"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7"/>
    <pageSetUpPr fitToPage="1"/>
  </sheetPr>
  <dimension ref="A1:N95"/>
  <sheetViews>
    <sheetView tabSelected="1" zoomScaleNormal="100" workbookViewId="0">
      <selection activeCell="E29" sqref="E29"/>
    </sheetView>
  </sheetViews>
  <sheetFormatPr defaultColWidth="9.1796875" defaultRowHeight="12.5" x14ac:dyDescent="0.25"/>
  <cols>
    <col min="1" max="1" width="13.54296875" customWidth="1"/>
    <col min="2" max="2" width="47.26953125" customWidth="1"/>
    <col min="3" max="3" width="12.26953125" bestFit="1" customWidth="1"/>
    <col min="4" max="4" width="10.26953125" customWidth="1"/>
    <col min="5" max="5" width="21.7265625" customWidth="1"/>
    <col min="6" max="6" width="3" customWidth="1"/>
    <col min="7" max="7" width="6.7265625" style="241" bestFit="1" customWidth="1"/>
    <col min="8" max="8" width="0" hidden="1" customWidth="1"/>
    <col min="9" max="9" width="12.26953125" hidden="1" customWidth="1"/>
    <col min="12" max="12" width="8.26953125" customWidth="1"/>
    <col min="13" max="13" width="36.7265625" hidden="1" customWidth="1"/>
    <col min="14" max="14" width="9.26953125" hidden="1" customWidth="1"/>
    <col min="15" max="15" width="9.26953125" customWidth="1"/>
  </cols>
  <sheetData>
    <row r="1" spans="1:14" ht="20" x14ac:dyDescent="0.4">
      <c r="A1" s="240" t="s">
        <v>28</v>
      </c>
    </row>
    <row r="2" spans="1:14" ht="18" x14ac:dyDescent="0.4">
      <c r="B2" s="431"/>
    </row>
    <row r="3" spans="1:14" ht="13" x14ac:dyDescent="0.3">
      <c r="A3" s="3" t="s">
        <v>29</v>
      </c>
      <c r="B3" s="446" t="s">
        <v>183</v>
      </c>
    </row>
    <row r="4" spans="1:14" ht="13" x14ac:dyDescent="0.3">
      <c r="A4" s="3" t="s">
        <v>31</v>
      </c>
      <c r="B4" s="7">
        <f>VLOOKUP(B3,M:N,2,0)</f>
        <v>2074</v>
      </c>
      <c r="M4" t="s">
        <v>32</v>
      </c>
    </row>
    <row r="5" spans="1:14" x14ac:dyDescent="0.25">
      <c r="M5" t="s">
        <v>33</v>
      </c>
      <c r="N5">
        <v>5412</v>
      </c>
    </row>
    <row r="6" spans="1:14" ht="13" x14ac:dyDescent="0.3">
      <c r="B6" s="242"/>
      <c r="C6" s="432" t="s">
        <v>34</v>
      </c>
      <c r="D6" s="432" t="s">
        <v>35</v>
      </c>
      <c r="E6" s="432" t="s">
        <v>36</v>
      </c>
      <c r="G6" s="433" t="s">
        <v>37</v>
      </c>
      <c r="M6" t="s">
        <v>38</v>
      </c>
      <c r="N6">
        <v>2001</v>
      </c>
    </row>
    <row r="7" spans="1:14" x14ac:dyDescent="0.25">
      <c r="B7" s="243" t="s">
        <v>39</v>
      </c>
      <c r="C7" s="244">
        <f>'All Schools'!AE3</f>
        <v>4272.37</v>
      </c>
      <c r="D7" s="245">
        <f>VLOOKUP($B$4,'All Schools'!$B$5:$CD$93,4,0)</f>
        <v>198</v>
      </c>
      <c r="E7" s="8">
        <f>C7*D7</f>
        <v>845929.26</v>
      </c>
      <c r="G7" s="246">
        <v>1</v>
      </c>
      <c r="M7" t="s">
        <v>40</v>
      </c>
      <c r="N7">
        <v>4600</v>
      </c>
    </row>
    <row r="8" spans="1:14" x14ac:dyDescent="0.25">
      <c r="B8" s="9" t="s">
        <v>41</v>
      </c>
      <c r="C8" s="10">
        <f>'All Schools'!AF3</f>
        <v>5846</v>
      </c>
      <c r="D8" s="247">
        <f>VLOOKUP($B$4,'All Schools'!$B$5:$CD$93,6,0)</f>
        <v>0</v>
      </c>
      <c r="E8" s="11">
        <f>C8*D8</f>
        <v>0</v>
      </c>
      <c r="G8" s="246">
        <v>1</v>
      </c>
      <c r="I8" s="2"/>
      <c r="M8" t="s">
        <v>42</v>
      </c>
      <c r="N8">
        <v>5400</v>
      </c>
    </row>
    <row r="9" spans="1:14" x14ac:dyDescent="0.25">
      <c r="B9" s="248" t="s">
        <v>43</v>
      </c>
      <c r="C9" s="249">
        <f>'All Schools'!AG3</f>
        <v>6590</v>
      </c>
      <c r="D9" s="250">
        <f>VLOOKUP($B$4,'All Schools'!$B$5:$CD$93,7,0)</f>
        <v>0</v>
      </c>
      <c r="E9" s="12">
        <f>C9*D9</f>
        <v>0</v>
      </c>
      <c r="G9" s="246">
        <v>1</v>
      </c>
      <c r="I9" s="2"/>
      <c r="M9" t="s">
        <v>44</v>
      </c>
      <c r="N9">
        <v>3401</v>
      </c>
    </row>
    <row r="10" spans="1:14" ht="13" x14ac:dyDescent="0.3">
      <c r="B10" s="434" t="s">
        <v>45</v>
      </c>
      <c r="C10" s="434"/>
      <c r="D10" s="435">
        <f>SUM(D7:D9)</f>
        <v>198</v>
      </c>
      <c r="E10" s="436">
        <f>SUM(E7:E9)</f>
        <v>845929.26</v>
      </c>
      <c r="G10" s="246"/>
      <c r="H10" s="251"/>
      <c r="I10" s="2"/>
      <c r="M10" t="s">
        <v>46</v>
      </c>
      <c r="N10">
        <v>2003</v>
      </c>
    </row>
    <row r="11" spans="1:14" x14ac:dyDescent="0.25">
      <c r="D11" s="252"/>
      <c r="E11" s="1"/>
      <c r="G11" s="253"/>
      <c r="M11" t="s">
        <v>47</v>
      </c>
      <c r="N11">
        <v>2002</v>
      </c>
    </row>
    <row r="12" spans="1:14" x14ac:dyDescent="0.25">
      <c r="B12" s="254" t="s">
        <v>48</v>
      </c>
      <c r="C12" s="244">
        <f>'All Schools'!AH3</f>
        <v>544.67999999999995</v>
      </c>
      <c r="D12" s="245">
        <f>VLOOKUP($B$4,'All Schools'!$B$5:$CD$93,8,0)</f>
        <v>19.000000000000007</v>
      </c>
      <c r="E12" s="8">
        <f>D12*C12</f>
        <v>10348.920000000004</v>
      </c>
      <c r="G12" s="246">
        <v>2</v>
      </c>
      <c r="M12" t="s">
        <v>49</v>
      </c>
      <c r="N12">
        <v>3300</v>
      </c>
    </row>
    <row r="13" spans="1:14" x14ac:dyDescent="0.25">
      <c r="B13" s="255" t="s">
        <v>50</v>
      </c>
      <c r="C13" s="10">
        <f>'All Schools'!AI3</f>
        <v>544.67999999999995</v>
      </c>
      <c r="D13" s="247">
        <f>VLOOKUP($B$4,'All Schools'!$B$5:$CD$93,9,0)</f>
        <v>0</v>
      </c>
      <c r="E13" s="11">
        <f>D13*C13</f>
        <v>0</v>
      </c>
      <c r="G13" s="246">
        <v>2</v>
      </c>
      <c r="M13" t="s">
        <v>51</v>
      </c>
      <c r="N13">
        <v>5206</v>
      </c>
    </row>
    <row r="14" spans="1:14" x14ac:dyDescent="0.25">
      <c r="B14" s="243" t="s">
        <v>52</v>
      </c>
      <c r="C14" s="244">
        <f>'All Schools'!AJ3</f>
        <v>1166.3815999999999</v>
      </c>
      <c r="D14" s="245">
        <f>VLOOKUP($B$4,'All Schools'!$B$5:$CD$93,10,0)</f>
        <v>19.000000000000007</v>
      </c>
      <c r="E14" s="8">
        <f>D14*C14</f>
        <v>22161.250400000008</v>
      </c>
      <c r="G14" s="246">
        <v>2</v>
      </c>
      <c r="H14" s="251"/>
      <c r="I14" s="2">
        <f>E12+E14</f>
        <v>32510.17040000001</v>
      </c>
      <c r="M14" t="s">
        <v>53</v>
      </c>
      <c r="N14">
        <v>2084</v>
      </c>
    </row>
    <row r="15" spans="1:14" x14ac:dyDescent="0.25">
      <c r="B15" s="9" t="s">
        <v>54</v>
      </c>
      <c r="C15" s="10">
        <f>'All Schools'!AK3</f>
        <v>1711.0598</v>
      </c>
      <c r="D15" s="247">
        <f>VLOOKUP($B$4,'All Schools'!$B$5:$CD$93,11,0)</f>
        <v>0</v>
      </c>
      <c r="E15" s="11">
        <f>D15*C15</f>
        <v>0</v>
      </c>
      <c r="G15" s="246">
        <v>2</v>
      </c>
      <c r="I15" s="2"/>
      <c r="M15" t="s">
        <v>55</v>
      </c>
      <c r="N15">
        <v>2010</v>
      </c>
    </row>
    <row r="16" spans="1:14" x14ac:dyDescent="0.25">
      <c r="B16" s="9" t="s">
        <v>56</v>
      </c>
      <c r="C16" s="10">
        <f>'All Schools'!AL3</f>
        <v>258.58460000000002</v>
      </c>
      <c r="D16" s="247">
        <f>VLOOKUP($B$4,'All Schools'!$B$5:$CD$93,12,0)</f>
        <v>47.999999999999915</v>
      </c>
      <c r="E16" s="11">
        <f t="shared" ref="E16:E32" si="0">D16*C16</f>
        <v>12412.060799999979</v>
      </c>
      <c r="G16" s="246">
        <v>2</v>
      </c>
      <c r="I16" s="2"/>
      <c r="M16" t="s">
        <v>57</v>
      </c>
      <c r="N16">
        <v>2012</v>
      </c>
    </row>
    <row r="17" spans="2:14" x14ac:dyDescent="0.25">
      <c r="B17" s="9" t="s">
        <v>58</v>
      </c>
      <c r="C17" s="10">
        <f>'All Schools'!AM3</f>
        <v>313.6026</v>
      </c>
      <c r="D17" s="247">
        <f>VLOOKUP($B$4,'All Schools'!$B$5:$CD$93,13,0)</f>
        <v>1.9999999999999996</v>
      </c>
      <c r="E17" s="11">
        <f t="shared" si="0"/>
        <v>627.20519999999988</v>
      </c>
      <c r="G17" s="246">
        <v>2</v>
      </c>
      <c r="I17" s="2"/>
      <c r="M17" t="s">
        <v>59</v>
      </c>
      <c r="N17">
        <v>2011</v>
      </c>
    </row>
    <row r="18" spans="2:14" x14ac:dyDescent="0.25">
      <c r="B18" s="9" t="s">
        <v>60</v>
      </c>
      <c r="C18" s="10">
        <f>'All Schools'!AN3</f>
        <v>489.66019999999997</v>
      </c>
      <c r="D18" s="247">
        <f>VLOOKUP($B$4,'All Schools'!$B$5:$CD$93,14,0)</f>
        <v>0</v>
      </c>
      <c r="E18" s="11">
        <f t="shared" si="0"/>
        <v>0</v>
      </c>
      <c r="G18" s="246">
        <v>2</v>
      </c>
      <c r="I18" s="2"/>
      <c r="M18" t="s">
        <v>61</v>
      </c>
      <c r="N18">
        <v>3410</v>
      </c>
    </row>
    <row r="19" spans="2:14" x14ac:dyDescent="0.25">
      <c r="B19" s="9" t="s">
        <v>62</v>
      </c>
      <c r="C19" s="10">
        <f>'All Schools'!AO3</f>
        <v>539.17639999999994</v>
      </c>
      <c r="D19" s="247">
        <f>VLOOKUP($B$4,'All Schools'!$B$5:$CD$93,15,0)</f>
        <v>0</v>
      </c>
      <c r="E19" s="11">
        <f t="shared" si="0"/>
        <v>0</v>
      </c>
      <c r="G19" s="246">
        <v>2</v>
      </c>
      <c r="I19" s="2"/>
      <c r="M19" t="s">
        <v>63</v>
      </c>
      <c r="N19">
        <v>2078</v>
      </c>
    </row>
    <row r="20" spans="2:14" x14ac:dyDescent="0.25">
      <c r="B20" s="9" t="s">
        <v>64</v>
      </c>
      <c r="C20" s="10">
        <f>'All Schools'!AP3</f>
        <v>572.18719999999996</v>
      </c>
      <c r="D20" s="247">
        <f>VLOOKUP($B$4,'All Schools'!$B$5:$CD$93,16,0)</f>
        <v>0.99999999999999978</v>
      </c>
      <c r="E20" s="11">
        <f t="shared" si="0"/>
        <v>572.18719999999985</v>
      </c>
      <c r="G20" s="246">
        <v>2</v>
      </c>
      <c r="H20" s="251"/>
      <c r="I20" s="2">
        <f>E16+E17+E18+E19+E20</f>
        <v>13611.45319999998</v>
      </c>
      <c r="M20" t="s">
        <v>65</v>
      </c>
      <c r="N20">
        <v>4009</v>
      </c>
    </row>
    <row r="21" spans="2:14" x14ac:dyDescent="0.25">
      <c r="B21" s="9" t="s">
        <v>66</v>
      </c>
      <c r="C21" s="10">
        <f>'All Schools'!AQ3</f>
        <v>753.74659999999994</v>
      </c>
      <c r="D21" s="247">
        <f>VLOOKUP($B$4,'All Schools'!$B$5:$CD$93,17,0)</f>
        <v>0</v>
      </c>
      <c r="E21" s="11">
        <f t="shared" si="0"/>
        <v>0</v>
      </c>
      <c r="G21" s="246">
        <v>2</v>
      </c>
      <c r="I21" s="2"/>
      <c r="M21" t="s">
        <v>67</v>
      </c>
      <c r="N21">
        <v>2016</v>
      </c>
    </row>
    <row r="22" spans="2:14" x14ac:dyDescent="0.25">
      <c r="B22" s="9" t="s">
        <v>68</v>
      </c>
      <c r="C22" s="10">
        <f>'All Schools'!AR3</f>
        <v>374.12240000000003</v>
      </c>
      <c r="D22" s="247">
        <f>VLOOKUP($B$4,'All Schools'!$B$5:$CD$93,18,0)</f>
        <v>0</v>
      </c>
      <c r="E22" s="11">
        <f t="shared" si="0"/>
        <v>0</v>
      </c>
      <c r="G22" s="246">
        <v>2</v>
      </c>
      <c r="I22" s="2"/>
      <c r="M22" t="s">
        <v>69</v>
      </c>
      <c r="N22">
        <v>3307</v>
      </c>
    </row>
    <row r="23" spans="2:14" x14ac:dyDescent="0.25">
      <c r="B23" s="9" t="s">
        <v>70</v>
      </c>
      <c r="C23" s="10">
        <f>'All Schools'!AS3</f>
        <v>495.16199999999998</v>
      </c>
      <c r="D23" s="247">
        <f>VLOOKUP($B$4,'All Schools'!$B$5:$CD$93,19,0)</f>
        <v>0</v>
      </c>
      <c r="E23" s="11">
        <f t="shared" si="0"/>
        <v>0</v>
      </c>
      <c r="G23" s="246">
        <v>2</v>
      </c>
      <c r="I23" s="2"/>
      <c r="M23" s="437" t="s">
        <v>71</v>
      </c>
      <c r="N23">
        <v>2019</v>
      </c>
    </row>
    <row r="24" spans="2:14" x14ac:dyDescent="0.25">
      <c r="B24" s="9" t="s">
        <v>72</v>
      </c>
      <c r="C24" s="10">
        <f>'All Schools'!AT3</f>
        <v>698.72860000000003</v>
      </c>
      <c r="D24" s="247">
        <f>VLOOKUP($B$4,'All Schools'!$B$5:$CD$93,20,0)</f>
        <v>0</v>
      </c>
      <c r="E24" s="11">
        <f t="shared" si="0"/>
        <v>0</v>
      </c>
      <c r="G24" s="246">
        <v>2</v>
      </c>
      <c r="I24" s="2"/>
      <c r="M24" t="s">
        <v>73</v>
      </c>
      <c r="N24">
        <v>2018</v>
      </c>
    </row>
    <row r="25" spans="2:14" x14ac:dyDescent="0.25">
      <c r="B25" s="9" t="s">
        <v>74</v>
      </c>
      <c r="C25" s="10">
        <f>'All Schools'!AU3</f>
        <v>764.75019999999995</v>
      </c>
      <c r="D25" s="247">
        <f>VLOOKUP($B$4,'All Schools'!$B$5:$CD$93,21,0)</f>
        <v>0</v>
      </c>
      <c r="E25" s="11">
        <f t="shared" si="0"/>
        <v>0</v>
      </c>
      <c r="G25" s="246">
        <v>2</v>
      </c>
      <c r="I25" s="2"/>
      <c r="M25" t="s">
        <v>75</v>
      </c>
      <c r="N25">
        <v>2076</v>
      </c>
    </row>
    <row r="26" spans="2:14" x14ac:dyDescent="0.25">
      <c r="B26" s="9" t="s">
        <v>76</v>
      </c>
      <c r="C26" s="10">
        <f>'All Schools'!AV3</f>
        <v>819.76819999999998</v>
      </c>
      <c r="D26" s="247">
        <f>VLOOKUP($B$4,'All Schools'!$B$5:$CD$93,22,0)</f>
        <v>0</v>
      </c>
      <c r="E26" s="11">
        <f t="shared" si="0"/>
        <v>0</v>
      </c>
      <c r="G26" s="246">
        <v>2</v>
      </c>
      <c r="I26" s="2"/>
      <c r="M26" t="s">
        <v>77</v>
      </c>
      <c r="N26">
        <v>2020</v>
      </c>
    </row>
    <row r="27" spans="2:14" x14ac:dyDescent="0.25">
      <c r="B27" s="9" t="s">
        <v>78</v>
      </c>
      <c r="C27" s="10">
        <f>'All Schools'!AW3</f>
        <v>1045.3420000000001</v>
      </c>
      <c r="D27" s="247">
        <f>VLOOKUP($B$4,'All Schools'!$B$5:$CD$93,23,0)</f>
        <v>0</v>
      </c>
      <c r="E27" s="11">
        <f t="shared" si="0"/>
        <v>0</v>
      </c>
      <c r="G27" s="246">
        <v>2</v>
      </c>
      <c r="I27" s="2"/>
      <c r="M27" s="437" t="s">
        <v>79</v>
      </c>
      <c r="N27">
        <v>5203</v>
      </c>
    </row>
    <row r="28" spans="2:14" x14ac:dyDescent="0.25">
      <c r="B28" s="9" t="s">
        <v>80</v>
      </c>
      <c r="C28" s="10">
        <f>'All Schools'!AX3</f>
        <v>654.71</v>
      </c>
      <c r="D28" s="247">
        <f>VLOOKUP($B$4,'All Schools'!$B$5:$CD$93,24,0)</f>
        <v>44.661654135338324</v>
      </c>
      <c r="E28" s="11">
        <f t="shared" si="0"/>
        <v>29240.431578947355</v>
      </c>
      <c r="G28" s="246">
        <v>3</v>
      </c>
      <c r="H28" s="251"/>
      <c r="I28" s="2"/>
      <c r="M28" t="s">
        <v>81</v>
      </c>
      <c r="N28">
        <v>5202</v>
      </c>
    </row>
    <row r="29" spans="2:14" x14ac:dyDescent="0.25">
      <c r="B29" s="9" t="s">
        <v>82</v>
      </c>
      <c r="C29" s="10">
        <f>'All Schools'!AY3</f>
        <v>1755.07</v>
      </c>
      <c r="D29" s="247">
        <f>VLOOKUP($B$4,'All Schools'!$B$5:$CD$93,25,0)</f>
        <v>0</v>
      </c>
      <c r="E29" s="11">
        <f t="shared" si="0"/>
        <v>0</v>
      </c>
      <c r="G29" s="246">
        <v>3</v>
      </c>
      <c r="I29" s="2"/>
      <c r="M29" t="s">
        <v>83</v>
      </c>
      <c r="N29">
        <v>4654</v>
      </c>
    </row>
    <row r="30" spans="2:14" x14ac:dyDescent="0.25">
      <c r="B30" s="9" t="s">
        <v>84</v>
      </c>
      <c r="C30" s="10">
        <f>'All Schools'!AZ3</f>
        <v>1292.92</v>
      </c>
      <c r="D30" s="247">
        <f>VLOOKUP($B$4,'All Schools'!$B$5:$CD$93,26,0)</f>
        <v>57.877057370436432</v>
      </c>
      <c r="E30" s="11">
        <f t="shared" si="0"/>
        <v>74830.405015384677</v>
      </c>
      <c r="G30" s="246">
        <v>4</v>
      </c>
      <c r="H30" s="251"/>
      <c r="I30" s="2"/>
      <c r="M30" t="s">
        <v>85</v>
      </c>
      <c r="N30">
        <v>2024</v>
      </c>
    </row>
    <row r="31" spans="2:14" x14ac:dyDescent="0.25">
      <c r="B31" s="9" t="s">
        <v>86</v>
      </c>
      <c r="C31" s="10">
        <f>'All Schools'!BA3</f>
        <v>1964.14</v>
      </c>
      <c r="D31" s="247">
        <f>VLOOKUP($B$4,'All Schools'!$B$5:$CD$93,27,0)</f>
        <v>0</v>
      </c>
      <c r="E31" s="11">
        <f t="shared" si="0"/>
        <v>0</v>
      </c>
      <c r="G31" s="246">
        <v>5</v>
      </c>
      <c r="I31" s="2"/>
      <c r="M31" t="s">
        <v>87</v>
      </c>
      <c r="N31">
        <v>2023</v>
      </c>
    </row>
    <row r="32" spans="2:14" x14ac:dyDescent="0.25">
      <c r="B32" s="9" t="s">
        <v>88</v>
      </c>
      <c r="C32" s="10">
        <f>'All Schools'!BB3</f>
        <v>1061.8499999999999</v>
      </c>
      <c r="D32" s="247">
        <f>VLOOKUP($B$4,'All Schools'!$B$5:$CD$93,28,0)</f>
        <v>0</v>
      </c>
      <c r="E32" s="11">
        <f t="shared" si="0"/>
        <v>0</v>
      </c>
      <c r="G32" s="246">
        <v>6</v>
      </c>
      <c r="I32" s="2"/>
      <c r="M32" t="s">
        <v>89</v>
      </c>
      <c r="N32">
        <v>5411</v>
      </c>
    </row>
    <row r="33" spans="2:14" x14ac:dyDescent="0.25">
      <c r="B33" s="9" t="s">
        <v>90</v>
      </c>
      <c r="C33" s="10">
        <f>'All Schools'!BC3</f>
        <v>1524</v>
      </c>
      <c r="D33" s="247">
        <f>VLOOKUP($B$4,'All Schools'!$B$5:$CD$93,29,0)</f>
        <v>0</v>
      </c>
      <c r="E33" s="11">
        <f>D33*C33</f>
        <v>0</v>
      </c>
      <c r="G33" s="246">
        <v>6</v>
      </c>
      <c r="I33" s="2"/>
      <c r="M33" t="s">
        <v>91</v>
      </c>
      <c r="N33">
        <v>2025</v>
      </c>
    </row>
    <row r="34" spans="2:14" ht="13" x14ac:dyDescent="0.3">
      <c r="B34" s="438" t="s">
        <v>92</v>
      </c>
      <c r="C34" s="438"/>
      <c r="D34" s="438"/>
      <c r="E34" s="439">
        <f>SUM(E12:E33)</f>
        <v>150192.460194332</v>
      </c>
      <c r="G34" s="246"/>
      <c r="M34" t="s">
        <v>93</v>
      </c>
      <c r="N34">
        <v>2026</v>
      </c>
    </row>
    <row r="35" spans="2:14" x14ac:dyDescent="0.25">
      <c r="E35" s="1"/>
      <c r="G35" s="253"/>
      <c r="M35" t="s">
        <v>94</v>
      </c>
      <c r="N35">
        <v>5401</v>
      </c>
    </row>
    <row r="36" spans="2:14" x14ac:dyDescent="0.25">
      <c r="B36" s="243" t="s">
        <v>95</v>
      </c>
      <c r="C36" s="244"/>
      <c r="D36" s="243"/>
      <c r="E36" s="46">
        <f>VLOOKUP($B$4,'All Schools'!$B$5:$CD$93,56,0)</f>
        <v>159662.24</v>
      </c>
      <c r="G36" s="246"/>
      <c r="I36" s="2"/>
      <c r="M36" t="s">
        <v>96</v>
      </c>
      <c r="N36">
        <v>5211</v>
      </c>
    </row>
    <row r="37" spans="2:14" x14ac:dyDescent="0.25">
      <c r="B37" s="255" t="s">
        <v>97</v>
      </c>
      <c r="C37" s="10"/>
      <c r="D37" s="9"/>
      <c r="E37" s="47">
        <f>VLOOKUP($B$4,'All Schools'!$B$5:$CD$93,57,0)</f>
        <v>0</v>
      </c>
      <c r="G37" s="246"/>
      <c r="I37" s="2"/>
      <c r="M37" t="s">
        <v>98</v>
      </c>
      <c r="N37">
        <v>4002</v>
      </c>
    </row>
    <row r="38" spans="2:14" x14ac:dyDescent="0.25">
      <c r="B38" s="9" t="s">
        <v>99</v>
      </c>
      <c r="C38" s="10"/>
      <c r="D38" s="9"/>
      <c r="E38" s="47">
        <f>VLOOKUP($B$4,'All Schools'!$B$5:$CD$93,58,0)</f>
        <v>22822.799999999999</v>
      </c>
      <c r="G38" s="246">
        <v>7</v>
      </c>
      <c r="I38" s="2"/>
      <c r="M38" t="s">
        <v>100</v>
      </c>
      <c r="N38">
        <v>2029</v>
      </c>
    </row>
    <row r="39" spans="2:14" x14ac:dyDescent="0.25">
      <c r="B39" s="9" t="s">
        <v>101</v>
      </c>
      <c r="C39" s="10"/>
      <c r="D39" s="9"/>
      <c r="E39" s="47">
        <f>VLOOKUP($B$4,'All Schools'!$B$5:$CD$93,59,0)</f>
        <v>0</v>
      </c>
      <c r="G39" s="246">
        <v>7</v>
      </c>
      <c r="M39" t="s">
        <v>102</v>
      </c>
      <c r="N39">
        <v>2061</v>
      </c>
    </row>
    <row r="40" spans="2:14" x14ac:dyDescent="0.25">
      <c r="B40" s="9" t="s">
        <v>103</v>
      </c>
      <c r="C40" s="10"/>
      <c r="D40" s="9"/>
      <c r="E40" s="47">
        <f>VLOOKUP($B$4,'All Schools'!$B$5:$CD$93,60,0)</f>
        <v>0</v>
      </c>
      <c r="G40" s="246"/>
      <c r="M40" t="s">
        <v>104</v>
      </c>
      <c r="N40">
        <v>5407</v>
      </c>
    </row>
    <row r="41" spans="2:14" x14ac:dyDescent="0.25">
      <c r="B41" s="9" t="s">
        <v>105</v>
      </c>
      <c r="C41" s="10"/>
      <c r="D41" s="9"/>
      <c r="E41" s="47">
        <f>VLOOKUP($B$4,'All Schools'!$B$5:$CD$93,61,0)</f>
        <v>0</v>
      </c>
      <c r="G41" s="246"/>
      <c r="M41" t="s">
        <v>106</v>
      </c>
      <c r="N41">
        <v>2021</v>
      </c>
    </row>
    <row r="42" spans="2:14" x14ac:dyDescent="0.25">
      <c r="B42" s="248" t="s">
        <v>107</v>
      </c>
      <c r="C42" s="249"/>
      <c r="D42" s="248"/>
      <c r="E42" s="47">
        <f>VLOOKUP($B$4,'All Schools'!$B$5:$CD$93,62,0)</f>
        <v>0</v>
      </c>
      <c r="G42" s="246"/>
      <c r="M42" t="s">
        <v>108</v>
      </c>
      <c r="N42">
        <v>2063</v>
      </c>
    </row>
    <row r="43" spans="2:14" ht="13" x14ac:dyDescent="0.3">
      <c r="B43" s="438" t="s">
        <v>109</v>
      </c>
      <c r="C43" s="438"/>
      <c r="D43" s="438"/>
      <c r="E43" s="439">
        <f>SUM(E36:E42)</f>
        <v>182485.03999999998</v>
      </c>
      <c r="G43" s="246"/>
      <c r="M43" t="s">
        <v>110</v>
      </c>
      <c r="N43">
        <v>2081</v>
      </c>
    </row>
    <row r="44" spans="2:14" x14ac:dyDescent="0.25">
      <c r="E44" s="1"/>
      <c r="G44" s="253"/>
      <c r="M44" t="s">
        <v>111</v>
      </c>
      <c r="N44">
        <v>5204</v>
      </c>
    </row>
    <row r="45" spans="2:14" ht="13" x14ac:dyDescent="0.3">
      <c r="B45" s="438" t="s">
        <v>112</v>
      </c>
      <c r="C45" s="438"/>
      <c r="D45" s="438"/>
      <c r="E45" s="439">
        <f>E10+E34+E43</f>
        <v>1178606.7601943321</v>
      </c>
      <c r="G45" s="246"/>
      <c r="M45" t="s">
        <v>113</v>
      </c>
      <c r="N45">
        <v>5205</v>
      </c>
    </row>
    <row r="46" spans="2:14" x14ac:dyDescent="0.25">
      <c r="E46" s="1"/>
      <c r="G46" s="253"/>
      <c r="M46" t="s">
        <v>114</v>
      </c>
      <c r="N46">
        <v>3302</v>
      </c>
    </row>
    <row r="47" spans="2:14" x14ac:dyDescent="0.25">
      <c r="B47" s="243" t="s">
        <v>115</v>
      </c>
      <c r="C47" s="243"/>
      <c r="D47" s="243"/>
      <c r="E47" s="8">
        <f>VLOOKUP($B$4,'All Schools'!$B$5:$CD$93,70,0)</f>
        <v>996121.72019433207</v>
      </c>
      <c r="G47" s="246">
        <v>8</v>
      </c>
      <c r="M47" t="s">
        <v>116</v>
      </c>
      <c r="N47">
        <v>2027</v>
      </c>
    </row>
    <row r="48" spans="2:14" x14ac:dyDescent="0.25">
      <c r="B48" s="9" t="s">
        <v>117</v>
      </c>
      <c r="C48" s="9"/>
      <c r="D48" s="9"/>
      <c r="E48" s="11">
        <f>VLOOKUP($B$4,'All Schools'!$B$5:$CD$93,71,0)</f>
        <v>5030.9177787592525</v>
      </c>
      <c r="G48" s="246">
        <v>8</v>
      </c>
      <c r="M48" t="s">
        <v>118</v>
      </c>
      <c r="N48">
        <v>2032</v>
      </c>
    </row>
    <row r="49" spans="2:14" x14ac:dyDescent="0.25">
      <c r="B49" s="9" t="s">
        <v>119</v>
      </c>
      <c r="C49" s="9"/>
      <c r="D49" s="9"/>
      <c r="E49" s="11">
        <f>VLOOKUP($B$4,'All Schools'!$B$5:$CD$93,72,0)</f>
        <v>5002.5857301435408</v>
      </c>
      <c r="G49" s="246">
        <v>8</v>
      </c>
      <c r="M49" t="s">
        <v>120</v>
      </c>
      <c r="N49">
        <v>2028</v>
      </c>
    </row>
    <row r="50" spans="2:14" x14ac:dyDescent="0.25">
      <c r="B50" s="9" t="s">
        <v>121</v>
      </c>
      <c r="C50" s="9"/>
      <c r="D50" s="9"/>
      <c r="E50" s="154">
        <f>VLOOKUP($B$4,'All Schools'!$B$5:$CD$93,73,0)</f>
        <v>5.6634808764984054E-3</v>
      </c>
      <c r="G50" s="246">
        <v>9</v>
      </c>
      <c r="M50" t="s">
        <v>122</v>
      </c>
      <c r="N50">
        <v>2017</v>
      </c>
    </row>
    <row r="51" spans="2:14" x14ac:dyDescent="0.25">
      <c r="B51" s="9" t="s">
        <v>123</v>
      </c>
      <c r="C51" s="11"/>
      <c r="D51" s="9"/>
      <c r="E51" s="154">
        <f>VLOOKUP($B$4,'All Schools'!$B$5:$CD$93,74,0)</f>
        <v>0</v>
      </c>
      <c r="G51" s="256">
        <v>9</v>
      </c>
      <c r="M51" t="s">
        <v>124</v>
      </c>
      <c r="N51">
        <v>2037</v>
      </c>
    </row>
    <row r="52" spans="2:14" x14ac:dyDescent="0.25">
      <c r="B52" s="9" t="s">
        <v>125</v>
      </c>
      <c r="C52" s="11"/>
      <c r="D52" s="9"/>
      <c r="E52" s="11">
        <f>VLOOKUP($B$4,'All Schools'!$B$5:$CD$93,75,0)</f>
        <v>0</v>
      </c>
      <c r="G52" s="246">
        <v>9</v>
      </c>
      <c r="I52" s="2"/>
      <c r="M52" t="s">
        <v>126</v>
      </c>
      <c r="N52">
        <v>2036</v>
      </c>
    </row>
    <row r="53" spans="2:14" ht="13" x14ac:dyDescent="0.3">
      <c r="B53" s="438" t="s">
        <v>127</v>
      </c>
      <c r="C53" s="439"/>
      <c r="D53" s="438"/>
      <c r="E53" s="439">
        <f>E45+E52</f>
        <v>1178606.7601943321</v>
      </c>
      <c r="G53" s="246"/>
      <c r="I53" s="2"/>
      <c r="M53" t="s">
        <v>128</v>
      </c>
      <c r="N53">
        <v>2022</v>
      </c>
    </row>
    <row r="54" spans="2:14" x14ac:dyDescent="0.25">
      <c r="C54" s="1"/>
      <c r="E54" s="1"/>
      <c r="G54" s="253"/>
      <c r="M54" t="s">
        <v>129</v>
      </c>
      <c r="N54">
        <v>2039</v>
      </c>
    </row>
    <row r="55" spans="2:14" ht="13" x14ac:dyDescent="0.3">
      <c r="B55" s="438" t="s">
        <v>130</v>
      </c>
      <c r="C55" s="45"/>
      <c r="D55" s="257"/>
      <c r="E55" s="38">
        <f>VLOOKUP(B4,'All Schools'!$B$5:$CB$94,66,0)</f>
        <v>122799.25342646157</v>
      </c>
      <c r="G55" s="246">
        <v>10</v>
      </c>
      <c r="M55" t="s">
        <v>131</v>
      </c>
      <c r="N55">
        <v>2038</v>
      </c>
    </row>
    <row r="56" spans="2:14" x14ac:dyDescent="0.25">
      <c r="C56" s="1"/>
      <c r="E56" s="1"/>
      <c r="G56" s="253"/>
      <c r="M56" t="s">
        <v>132</v>
      </c>
      <c r="N56">
        <v>5405</v>
      </c>
    </row>
    <row r="57" spans="2:14" x14ac:dyDescent="0.25">
      <c r="B57" s="257" t="s">
        <v>133</v>
      </c>
      <c r="C57" s="45">
        <v>1.28</v>
      </c>
      <c r="D57" s="258">
        <f>D10</f>
        <v>198</v>
      </c>
      <c r="E57" s="38">
        <f>VLOOKUP(B4,'All Schools'!$B$5:$CB$93,77,0)</f>
        <v>253.44</v>
      </c>
      <c r="G57" s="246">
        <v>11</v>
      </c>
      <c r="M57" t="s">
        <v>134</v>
      </c>
      <c r="N57">
        <v>5200</v>
      </c>
    </row>
    <row r="58" spans="2:14" x14ac:dyDescent="0.25">
      <c r="B58" s="257" t="s">
        <v>135</v>
      </c>
      <c r="C58" s="39">
        <v>11.02</v>
      </c>
      <c r="D58" s="258">
        <f>D10</f>
        <v>198</v>
      </c>
      <c r="E58" s="38">
        <f>VLOOKUP(B4,'All Schools'!$B$5:$CB$94,78,0)</f>
        <v>2181.96</v>
      </c>
      <c r="G58" s="246">
        <v>11</v>
      </c>
      <c r="J58" s="2"/>
      <c r="M58" t="s">
        <v>30</v>
      </c>
      <c r="N58">
        <v>5409</v>
      </c>
    </row>
    <row r="59" spans="2:14" x14ac:dyDescent="0.25">
      <c r="E59" s="1"/>
      <c r="G59" s="253"/>
      <c r="M59" t="s">
        <v>136</v>
      </c>
      <c r="N59">
        <v>4021</v>
      </c>
    </row>
    <row r="60" spans="2:14" ht="13" x14ac:dyDescent="0.3">
      <c r="B60" s="440" t="s">
        <v>137</v>
      </c>
      <c r="C60" s="441"/>
      <c r="D60" s="441"/>
      <c r="E60" s="442">
        <f>E53-E57-E58</f>
        <v>1176171.3601943322</v>
      </c>
      <c r="G60" s="246"/>
      <c r="M60" t="s">
        <v>138</v>
      </c>
      <c r="N60">
        <v>4000</v>
      </c>
    </row>
    <row r="61" spans="2:14" x14ac:dyDescent="0.25">
      <c r="E61" s="1"/>
      <c r="G61" s="253"/>
      <c r="M61" t="s">
        <v>139</v>
      </c>
      <c r="N61">
        <v>2040</v>
      </c>
    </row>
    <row r="62" spans="2:14" ht="13" x14ac:dyDescent="0.3">
      <c r="E62" s="443">
        <f>E60-E38</f>
        <v>1153348.5601943322</v>
      </c>
      <c r="G62" s="253"/>
      <c r="M62" t="s">
        <v>140</v>
      </c>
      <c r="N62">
        <v>5403</v>
      </c>
    </row>
    <row r="63" spans="2:14" ht="13" x14ac:dyDescent="0.3">
      <c r="B63" s="31" t="s">
        <v>141</v>
      </c>
      <c r="E63" s="444"/>
      <c r="G63" s="253"/>
      <c r="M63" t="s">
        <v>142</v>
      </c>
      <c r="N63">
        <v>2064</v>
      </c>
    </row>
    <row r="64" spans="2:14" x14ac:dyDescent="0.25">
      <c r="E64" s="1"/>
      <c r="G64" s="253"/>
      <c r="M64" t="s">
        <v>143</v>
      </c>
      <c r="N64">
        <v>5406</v>
      </c>
    </row>
    <row r="65" spans="2:14" x14ac:dyDescent="0.25">
      <c r="B65" s="243" t="s">
        <v>144</v>
      </c>
      <c r="C65" s="48"/>
      <c r="D65" s="254"/>
      <c r="E65" s="8">
        <f>VLOOKUP(B4,'EY Universal 15'!A:Y,25,FALSE)</f>
        <v>177322.97216328184</v>
      </c>
      <c r="G65" s="259">
        <v>12</v>
      </c>
      <c r="H65" s="251"/>
      <c r="M65" t="s">
        <v>145</v>
      </c>
      <c r="N65">
        <v>2045</v>
      </c>
    </row>
    <row r="66" spans="2:14" x14ac:dyDescent="0.25">
      <c r="B66" s="9" t="s">
        <v>146</v>
      </c>
      <c r="C66" s="33"/>
      <c r="D66" s="255"/>
      <c r="E66" s="11">
        <f>VLOOKUP(B4,'EY Additional 15'!A:X,24,FALSE)</f>
        <v>137843.40089809202</v>
      </c>
      <c r="G66" s="259">
        <v>12</v>
      </c>
      <c r="H66" s="251"/>
      <c r="M66" t="s">
        <v>147</v>
      </c>
      <c r="N66">
        <v>2080</v>
      </c>
    </row>
    <row r="67" spans="2:14" x14ac:dyDescent="0.25">
      <c r="B67" s="9" t="s">
        <v>148</v>
      </c>
      <c r="C67" s="33"/>
      <c r="D67" s="255"/>
      <c r="E67" s="11">
        <f>VLOOKUP(B4,'All Schools'!$B$5:$CJ$93,83,0)</f>
        <v>0</v>
      </c>
      <c r="G67" s="259">
        <v>13</v>
      </c>
      <c r="M67" t="s">
        <v>149</v>
      </c>
      <c r="N67">
        <v>4023</v>
      </c>
    </row>
    <row r="68" spans="2:14" x14ac:dyDescent="0.25">
      <c r="B68" s="9" t="s">
        <v>150</v>
      </c>
      <c r="C68" s="33"/>
      <c r="D68" s="255"/>
      <c r="E68" s="11">
        <f>VLOOKUP(B4,'All Schools'!$B$5:$CJ$93,85,0)</f>
        <v>0</v>
      </c>
      <c r="G68" s="259">
        <v>14</v>
      </c>
      <c r="H68" s="251"/>
      <c r="M68" t="s">
        <v>151</v>
      </c>
      <c r="N68">
        <v>2048</v>
      </c>
    </row>
    <row r="69" spans="2:14" x14ac:dyDescent="0.25">
      <c r="B69" s="9" t="s">
        <v>152</v>
      </c>
      <c r="C69" s="33"/>
      <c r="D69" s="255"/>
      <c r="E69" s="11">
        <f>VLOOKUP(B4,'All Schools'!$B$5:$CJ$93,86,0)</f>
        <v>0</v>
      </c>
      <c r="G69" s="259">
        <v>14</v>
      </c>
      <c r="H69" s="251"/>
      <c r="M69" t="s">
        <v>151</v>
      </c>
      <c r="N69">
        <v>2048</v>
      </c>
    </row>
    <row r="70" spans="2:14" x14ac:dyDescent="0.25">
      <c r="B70" s="248" t="s">
        <v>153</v>
      </c>
      <c r="C70" s="34"/>
      <c r="D70" s="37"/>
      <c r="E70" s="12">
        <f>VLOOKUP(B4,'All Schools'!$B$5:$CJ$93,87,0)</f>
        <v>61587</v>
      </c>
      <c r="G70" s="259">
        <v>14</v>
      </c>
      <c r="M70" t="s">
        <v>154</v>
      </c>
      <c r="N70">
        <v>3405</v>
      </c>
    </row>
    <row r="71" spans="2:14" x14ac:dyDescent="0.25">
      <c r="M71" t="s">
        <v>155</v>
      </c>
      <c r="N71">
        <v>5208</v>
      </c>
    </row>
    <row r="72" spans="2:14" ht="13" x14ac:dyDescent="0.3">
      <c r="B72" s="31" t="s">
        <v>19</v>
      </c>
      <c r="M72" t="s">
        <v>156</v>
      </c>
      <c r="N72">
        <v>3402</v>
      </c>
    </row>
    <row r="73" spans="2:14" x14ac:dyDescent="0.25">
      <c r="M73" t="s">
        <v>157</v>
      </c>
      <c r="N73">
        <v>2035</v>
      </c>
    </row>
    <row r="74" spans="2:14" x14ac:dyDescent="0.25">
      <c r="B74" s="254" t="s">
        <v>158</v>
      </c>
      <c r="C74" s="243"/>
      <c r="D74" s="243"/>
      <c r="E74" s="46">
        <f>VLOOKUP(B4,'All Schools'!$B$5:$CU$93,89,0)</f>
        <v>39960</v>
      </c>
      <c r="G74" s="259">
        <v>15</v>
      </c>
      <c r="H74" s="251"/>
      <c r="M74" t="s">
        <v>159</v>
      </c>
      <c r="N74">
        <v>3404</v>
      </c>
    </row>
    <row r="75" spans="2:14" x14ac:dyDescent="0.25">
      <c r="B75" s="255" t="s">
        <v>160</v>
      </c>
      <c r="C75" s="9"/>
      <c r="D75" s="9"/>
      <c r="E75" s="47">
        <f>VLOOKUP(B4,'All Schools'!$B$5:$CU$93,90,0)</f>
        <v>1005</v>
      </c>
      <c r="G75" s="259">
        <v>16</v>
      </c>
      <c r="H75" s="251"/>
      <c r="M75" t="s">
        <v>161</v>
      </c>
      <c r="N75">
        <v>3306</v>
      </c>
    </row>
    <row r="76" spans="2:14" x14ac:dyDescent="0.25">
      <c r="B76" s="255" t="s">
        <v>162</v>
      </c>
      <c r="C76" s="9"/>
      <c r="D76" s="9"/>
      <c r="E76" s="47">
        <f>VLOOKUP(B4,'All Schools'!$B$5:$CU$93,91,0)</f>
        <v>7590</v>
      </c>
      <c r="G76" s="259">
        <v>17</v>
      </c>
      <c r="H76" s="251"/>
      <c r="M76" t="s">
        <v>163</v>
      </c>
      <c r="N76">
        <v>3400</v>
      </c>
    </row>
    <row r="77" spans="2:14" x14ac:dyDescent="0.25">
      <c r="B77" s="255" t="s">
        <v>164</v>
      </c>
      <c r="C77" s="9"/>
      <c r="D77" s="9"/>
      <c r="E77" s="47">
        <f>VLOOKUP(B4,'All Schools'!$B$5:$CU$93,92,0)</f>
        <v>7350</v>
      </c>
      <c r="G77" s="259">
        <v>18</v>
      </c>
      <c r="M77" t="s">
        <v>165</v>
      </c>
      <c r="N77">
        <v>3403</v>
      </c>
    </row>
    <row r="78" spans="2:14" ht="13" customHeight="1" x14ac:dyDescent="0.25">
      <c r="B78" s="255" t="s">
        <v>166</v>
      </c>
      <c r="C78" s="9"/>
      <c r="D78" s="9"/>
      <c r="E78" s="47">
        <f>VLOOKUP(B4,'All Schools'!$B$5:$CU$93,95,0)</f>
        <v>87745.8</v>
      </c>
      <c r="G78" s="259">
        <v>19</v>
      </c>
      <c r="M78" t="s">
        <v>167</v>
      </c>
      <c r="N78">
        <v>5410</v>
      </c>
    </row>
    <row r="79" spans="2:14" ht="13" customHeight="1" x14ac:dyDescent="0.25">
      <c r="B79" s="255" t="s">
        <v>168</v>
      </c>
      <c r="C79" s="9"/>
      <c r="D79" s="9"/>
      <c r="E79" s="47">
        <f>VLOOKUP(B4,'All Schools'!$B$5:$CU$93,93,0)</f>
        <v>0</v>
      </c>
      <c r="G79" s="259">
        <v>20</v>
      </c>
    </row>
    <row r="80" spans="2:14" ht="13" customHeight="1" x14ac:dyDescent="0.25">
      <c r="B80" s="255" t="s">
        <v>169</v>
      </c>
      <c r="C80" s="9"/>
      <c r="D80" s="9"/>
      <c r="E80" s="47">
        <f>VLOOKUP(B4,'All Schools'!$B$5:$CU$93,94,0)</f>
        <v>0</v>
      </c>
      <c r="G80" s="259">
        <v>20</v>
      </c>
      <c r="M80" t="s">
        <v>170</v>
      </c>
      <c r="N80">
        <v>2004</v>
      </c>
    </row>
    <row r="81" spans="2:14" x14ac:dyDescent="0.25">
      <c r="B81" s="255" t="s">
        <v>171</v>
      </c>
      <c r="C81" s="9"/>
      <c r="D81" s="9"/>
      <c r="E81" s="47">
        <f>VLOOKUP(B4,'All Schools'!$B$5:$CU$93,97,0)</f>
        <v>0</v>
      </c>
      <c r="G81" s="259">
        <v>21</v>
      </c>
      <c r="M81" t="s">
        <v>172</v>
      </c>
      <c r="N81">
        <v>5408</v>
      </c>
    </row>
    <row r="82" spans="2:14" x14ac:dyDescent="0.25">
      <c r="B82" s="37" t="s">
        <v>173</v>
      </c>
      <c r="C82" s="248"/>
      <c r="D82" s="248"/>
      <c r="E82" s="36">
        <f>VLOOKUP(B4,'All Schools'!$B$5:$CU$93,98,0)</f>
        <v>0</v>
      </c>
      <c r="G82" s="259">
        <v>21</v>
      </c>
      <c r="M82" t="s">
        <v>174</v>
      </c>
      <c r="N82">
        <v>4014</v>
      </c>
    </row>
    <row r="83" spans="2:14" x14ac:dyDescent="0.25">
      <c r="M83" t="s">
        <v>175</v>
      </c>
      <c r="N83">
        <v>6906</v>
      </c>
    </row>
    <row r="84" spans="2:14" x14ac:dyDescent="0.25">
      <c r="B84" s="257" t="s">
        <v>176</v>
      </c>
      <c r="C84" s="257"/>
      <c r="D84" s="257"/>
      <c r="E84" s="163">
        <f>VLOOKUP(B4,'All Schools'!B5:CU93,96,0)</f>
        <v>7204</v>
      </c>
      <c r="F84" s="161"/>
      <c r="G84" s="259">
        <v>22</v>
      </c>
      <c r="M84" t="s">
        <v>177</v>
      </c>
      <c r="N84">
        <v>5404</v>
      </c>
    </row>
    <row r="85" spans="2:14" x14ac:dyDescent="0.25">
      <c r="M85" t="s">
        <v>178</v>
      </c>
      <c r="N85">
        <v>5402</v>
      </c>
    </row>
    <row r="86" spans="2:14" x14ac:dyDescent="0.25">
      <c r="M86" t="s">
        <v>179</v>
      </c>
      <c r="N86">
        <v>2065</v>
      </c>
    </row>
    <row r="87" spans="2:14" x14ac:dyDescent="0.25">
      <c r="M87" t="s">
        <v>180</v>
      </c>
      <c r="N87">
        <v>2051</v>
      </c>
    </row>
    <row r="88" spans="2:14" x14ac:dyDescent="0.25">
      <c r="M88" t="s">
        <v>181</v>
      </c>
      <c r="N88">
        <v>2069</v>
      </c>
    </row>
    <row r="89" spans="2:14" x14ac:dyDescent="0.25">
      <c r="M89" t="s">
        <v>182</v>
      </c>
      <c r="N89">
        <v>2052</v>
      </c>
    </row>
    <row r="90" spans="2:14" x14ac:dyDescent="0.25">
      <c r="M90" t="s">
        <v>183</v>
      </c>
      <c r="N90">
        <v>2074</v>
      </c>
    </row>
    <row r="91" spans="2:14" x14ac:dyDescent="0.25">
      <c r="M91" t="s">
        <v>184</v>
      </c>
      <c r="N91">
        <v>2054</v>
      </c>
    </row>
    <row r="92" spans="2:14" x14ac:dyDescent="0.25">
      <c r="M92" t="s">
        <v>185</v>
      </c>
      <c r="N92">
        <v>2049</v>
      </c>
    </row>
    <row r="93" spans="2:14" x14ac:dyDescent="0.25">
      <c r="M93" t="s">
        <v>186</v>
      </c>
      <c r="N93">
        <v>2082</v>
      </c>
    </row>
    <row r="94" spans="2:14" x14ac:dyDescent="0.25">
      <c r="M94" t="s">
        <v>187</v>
      </c>
      <c r="N94">
        <v>2060</v>
      </c>
    </row>
    <row r="95" spans="2:14" x14ac:dyDescent="0.25">
      <c r="M95" t="s">
        <v>188</v>
      </c>
      <c r="N95">
        <v>2059</v>
      </c>
    </row>
  </sheetData>
  <sheetProtection algorithmName="SHA-512" hashValue="2hfuZmA/DRf97Q6L2SUR3WGYFNGZWQjzREXoO30elv/8Tx1IBR9H0LigMQikyibm2KtXzmfhSo2wKHKgIz6K9w==" saltValue="jCJm8ppFHfwt0wQyvXCpjA==" spinCount="100000" sheet="1" objects="1" scenarios="1"/>
  <phoneticPr fontId="2" type="noConversion"/>
  <conditionalFormatting sqref="N5:N50 N52:N95">
    <cfRule type="duplicateValues" dxfId="8" priority="27"/>
  </conditionalFormatting>
  <conditionalFormatting sqref="N51">
    <cfRule type="duplicateValues" dxfId="7" priority="1"/>
  </conditionalFormatting>
  <dataValidations count="1">
    <dataValidation type="list" allowBlank="1" showInputMessage="1" showErrorMessage="1" promptTitle="Please select school" sqref="B3" xr:uid="{00000000-0002-0000-0100-000000000000}">
      <formula1>$M$4:$M$109</formula1>
    </dataValidation>
  </dataValidations>
  <pageMargins left="0.35433070866141736" right="0.35433070866141736" top="0.39370078740157483" bottom="0.39370078740157483"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indexed="47"/>
    <pageSetUpPr fitToPage="1"/>
  </sheetPr>
  <dimension ref="A1:CV177"/>
  <sheetViews>
    <sheetView zoomScale="90" zoomScaleNormal="90" workbookViewId="0">
      <pane xSplit="3" ySplit="4" topLeftCell="D8" activePane="bottomRight" state="frozen"/>
      <selection pane="topRight" activeCell="D1" sqref="D1"/>
      <selection pane="bottomLeft" activeCell="A5" sqref="A5"/>
      <selection pane="bottomRight" activeCell="G39" sqref="G39"/>
    </sheetView>
  </sheetViews>
  <sheetFormatPr defaultRowHeight="13" x14ac:dyDescent="0.25"/>
  <cols>
    <col min="1" max="1" width="12" style="32" customWidth="1"/>
    <col min="2" max="2" width="10.54296875" style="77" customWidth="1"/>
    <col min="3" max="3" width="55.7265625" style="32" customWidth="1"/>
    <col min="4" max="11" width="14.453125" style="70" customWidth="1"/>
    <col min="12" max="12" width="15.54296875" style="70" customWidth="1"/>
    <col min="13" max="30" width="14.453125" style="70" customWidth="1"/>
    <col min="31" max="31" width="18" style="68" customWidth="1"/>
    <col min="32" max="33" width="15.81640625" style="68" bestFit="1" customWidth="1"/>
    <col min="34" max="34" width="15.453125" style="68" customWidth="1"/>
    <col min="35" max="35" width="14.453125" style="68" customWidth="1"/>
    <col min="36" max="36" width="15" style="68" customWidth="1"/>
    <col min="37" max="51" width="14.453125" style="68" customWidth="1"/>
    <col min="52" max="52" width="18.26953125" style="68" bestFit="1" customWidth="1"/>
    <col min="53" max="56" width="14.453125" style="68" customWidth="1"/>
    <col min="57" max="57" width="18.54296875" style="68" bestFit="1" customWidth="1"/>
    <col min="58" max="63" width="14.453125" style="68" customWidth="1"/>
    <col min="64" max="64" width="16.54296875" style="68" bestFit="1" customWidth="1"/>
    <col min="65" max="67" width="15.7265625" style="68" customWidth="1"/>
    <col min="68" max="68" width="19.453125" style="67" bestFit="1" customWidth="1"/>
    <col min="69" max="71" width="16.453125" style="67" bestFit="1" customWidth="1"/>
    <col min="72" max="73" width="14.453125" style="67" customWidth="1"/>
    <col min="74" max="74" width="14.453125" style="69" customWidth="1"/>
    <col min="75" max="76" width="14.453125" style="67" customWidth="1"/>
    <col min="77" max="77" width="16.7265625" style="151" customWidth="1"/>
    <col min="78" max="79" width="14.453125" style="67" customWidth="1"/>
    <col min="80" max="80" width="16.453125" style="159" bestFit="1" customWidth="1"/>
    <col min="81" max="81" width="7.26953125" customWidth="1"/>
    <col min="82" max="83" width="16.7265625" customWidth="1"/>
    <col min="84" max="87" width="14.453125" customWidth="1"/>
    <col min="88" max="88" width="15.453125" bestFit="1" customWidth="1"/>
    <col min="89" max="89" width="3.453125" customWidth="1"/>
    <col min="90" max="90" width="14.54296875" customWidth="1"/>
    <col min="91" max="93" width="13.26953125" customWidth="1"/>
    <col min="94" max="94" width="14.1796875" customWidth="1"/>
    <col min="95" max="95" width="15" customWidth="1"/>
    <col min="96" max="96" width="15.81640625" customWidth="1"/>
    <col min="97" max="97" width="13.26953125" customWidth="1"/>
    <col min="98" max="99" width="14" customWidth="1"/>
    <col min="100" max="100" width="11.26953125" bestFit="1" customWidth="1"/>
  </cols>
  <sheetData>
    <row r="1" spans="1:100" s="6" customFormat="1" ht="18" customHeight="1" thickBot="1" x14ac:dyDescent="0.45">
      <c r="A1" s="75"/>
      <c r="B1" s="28" t="s">
        <v>189</v>
      </c>
      <c r="C1" s="75"/>
      <c r="D1" s="76">
        <v>3</v>
      </c>
      <c r="E1" s="76">
        <v>4</v>
      </c>
      <c r="F1" s="76">
        <v>5</v>
      </c>
      <c r="G1" s="76">
        <v>6</v>
      </c>
      <c r="H1" s="76">
        <v>7</v>
      </c>
      <c r="I1" s="76">
        <v>8</v>
      </c>
      <c r="J1" s="76">
        <v>9</v>
      </c>
      <c r="K1" s="76">
        <v>10</v>
      </c>
      <c r="L1" s="76">
        <v>11</v>
      </c>
      <c r="M1" s="76">
        <v>13</v>
      </c>
      <c r="N1" s="76">
        <v>14</v>
      </c>
      <c r="O1" s="76">
        <v>15</v>
      </c>
      <c r="P1" s="76">
        <v>15</v>
      </c>
      <c r="Q1" s="76">
        <v>16</v>
      </c>
      <c r="R1" s="76">
        <v>17</v>
      </c>
      <c r="S1" s="76">
        <v>18</v>
      </c>
      <c r="T1" s="76">
        <v>19</v>
      </c>
      <c r="U1" s="76">
        <v>20</v>
      </c>
      <c r="V1" s="76">
        <v>21</v>
      </c>
      <c r="W1" s="76">
        <v>22</v>
      </c>
      <c r="X1" s="76">
        <v>23</v>
      </c>
      <c r="Y1" s="76">
        <v>24</v>
      </c>
      <c r="Z1" s="76">
        <v>25</v>
      </c>
      <c r="AA1" s="76">
        <v>26</v>
      </c>
      <c r="AB1" s="76">
        <v>27</v>
      </c>
      <c r="AC1" s="76">
        <v>28</v>
      </c>
      <c r="AD1" s="76">
        <v>29</v>
      </c>
      <c r="AE1" s="76">
        <v>30</v>
      </c>
      <c r="AF1" s="76"/>
      <c r="AG1" s="76"/>
      <c r="AH1" s="76">
        <v>31</v>
      </c>
      <c r="AI1" s="76">
        <v>32</v>
      </c>
      <c r="AJ1" s="76">
        <v>33</v>
      </c>
      <c r="AK1" s="76">
        <v>34</v>
      </c>
      <c r="AL1" s="76">
        <v>35</v>
      </c>
      <c r="AM1" s="76">
        <v>36</v>
      </c>
      <c r="AN1" s="76">
        <v>37</v>
      </c>
      <c r="AO1" s="76">
        <v>38</v>
      </c>
      <c r="AP1" s="76">
        <v>39</v>
      </c>
      <c r="AQ1" s="76">
        <v>40</v>
      </c>
      <c r="AR1" s="76">
        <v>41</v>
      </c>
      <c r="AS1" s="76">
        <v>42</v>
      </c>
      <c r="AT1" s="76">
        <v>43</v>
      </c>
      <c r="AU1" s="76">
        <v>44</v>
      </c>
      <c r="AV1" s="76">
        <v>45</v>
      </c>
      <c r="AW1" s="76">
        <v>46</v>
      </c>
      <c r="AX1" s="76">
        <v>47</v>
      </c>
      <c r="AY1" s="76">
        <v>48</v>
      </c>
      <c r="AZ1" s="76">
        <v>49</v>
      </c>
      <c r="BA1" s="76">
        <v>50</v>
      </c>
      <c r="BB1" s="76">
        <v>51</v>
      </c>
      <c r="BC1" s="76">
        <v>52</v>
      </c>
      <c r="BD1" s="76"/>
      <c r="BE1" s="76"/>
      <c r="BF1" s="76">
        <v>53</v>
      </c>
      <c r="BG1" s="76">
        <v>54</v>
      </c>
      <c r="BH1" s="76">
        <v>55</v>
      </c>
      <c r="BI1" s="76">
        <v>56</v>
      </c>
      <c r="BJ1" s="76">
        <v>57</v>
      </c>
      <c r="BK1" s="76">
        <v>58</v>
      </c>
      <c r="BL1" s="76">
        <v>59</v>
      </c>
      <c r="BM1" s="76">
        <v>60</v>
      </c>
      <c r="BN1" s="76">
        <v>61</v>
      </c>
      <c r="BO1" s="76">
        <v>62</v>
      </c>
      <c r="BP1" s="76">
        <v>63</v>
      </c>
      <c r="BQ1" s="76">
        <v>64</v>
      </c>
      <c r="BR1" s="76">
        <v>65</v>
      </c>
      <c r="BS1" s="76">
        <v>66</v>
      </c>
      <c r="BT1" s="76">
        <v>67</v>
      </c>
      <c r="BU1" s="76">
        <v>68</v>
      </c>
      <c r="BV1" s="76">
        <v>69</v>
      </c>
      <c r="BW1" s="76">
        <v>70</v>
      </c>
      <c r="BX1" s="76">
        <v>71</v>
      </c>
      <c r="BY1" s="151">
        <v>72</v>
      </c>
      <c r="BZ1" s="76">
        <v>73</v>
      </c>
      <c r="CA1" s="6">
        <v>74</v>
      </c>
      <c r="CB1" s="160">
        <v>75</v>
      </c>
      <c r="CC1" s="76"/>
      <c r="CD1" s="76">
        <v>81</v>
      </c>
      <c r="CE1" s="76">
        <v>82</v>
      </c>
      <c r="CF1" s="76">
        <v>83</v>
      </c>
      <c r="CG1" s="76">
        <v>84</v>
      </c>
      <c r="CH1" s="76">
        <v>85</v>
      </c>
      <c r="CI1" s="76">
        <v>86</v>
      </c>
      <c r="CJ1" s="76">
        <v>87</v>
      </c>
      <c r="CK1" s="76"/>
      <c r="CL1" s="76">
        <v>89</v>
      </c>
      <c r="CM1" s="76">
        <v>90</v>
      </c>
      <c r="CN1" s="76">
        <v>91</v>
      </c>
      <c r="CO1" s="76">
        <v>92</v>
      </c>
      <c r="CP1" s="76">
        <v>93</v>
      </c>
      <c r="CQ1" s="76">
        <v>94</v>
      </c>
      <c r="CR1" s="76">
        <v>95</v>
      </c>
      <c r="CS1" s="76">
        <v>96</v>
      </c>
      <c r="CT1" s="76">
        <v>97</v>
      </c>
      <c r="CU1" s="76">
        <v>98</v>
      </c>
    </row>
    <row r="2" spans="1:100" ht="27" hidden="1" customHeight="1" thickBot="1" x14ac:dyDescent="0.3">
      <c r="C2" s="77"/>
      <c r="D2" s="78">
        <v>3</v>
      </c>
      <c r="E2" s="78">
        <v>4</v>
      </c>
      <c r="F2" s="78">
        <v>5</v>
      </c>
      <c r="G2" s="78">
        <v>6</v>
      </c>
      <c r="H2" s="78">
        <v>7</v>
      </c>
      <c r="I2" s="78"/>
      <c r="J2" s="78"/>
      <c r="K2" s="78">
        <v>8</v>
      </c>
      <c r="L2" s="78">
        <v>9</v>
      </c>
      <c r="M2" s="78">
        <v>11</v>
      </c>
      <c r="N2" s="78"/>
      <c r="O2" s="78">
        <v>12</v>
      </c>
      <c r="P2" s="78">
        <v>13</v>
      </c>
      <c r="Q2" s="78">
        <v>14</v>
      </c>
      <c r="R2" s="78">
        <v>15</v>
      </c>
      <c r="S2" s="78">
        <v>16</v>
      </c>
      <c r="T2" s="78">
        <v>17</v>
      </c>
      <c r="U2" s="78">
        <v>18</v>
      </c>
      <c r="V2" s="78">
        <v>19</v>
      </c>
      <c r="W2" s="78">
        <v>20</v>
      </c>
      <c r="X2" s="78">
        <v>21</v>
      </c>
      <c r="Y2" s="78">
        <v>22</v>
      </c>
      <c r="Z2" s="78">
        <v>23</v>
      </c>
      <c r="AA2" s="78">
        <v>24</v>
      </c>
      <c r="AB2" s="78">
        <v>25</v>
      </c>
      <c r="AC2" s="78">
        <v>26</v>
      </c>
      <c r="AD2" s="78">
        <v>27</v>
      </c>
      <c r="AE2" s="55">
        <v>28</v>
      </c>
      <c r="AF2" s="55">
        <v>29</v>
      </c>
      <c r="AG2" s="55">
        <v>30</v>
      </c>
      <c r="AH2" s="55"/>
      <c r="AI2" s="55"/>
      <c r="AJ2" s="55">
        <v>31</v>
      </c>
      <c r="AK2" s="55">
        <v>32</v>
      </c>
      <c r="AL2" s="55">
        <v>33</v>
      </c>
      <c r="AM2" s="55">
        <v>34</v>
      </c>
      <c r="AN2" s="55">
        <v>35</v>
      </c>
      <c r="AO2" s="55">
        <v>36</v>
      </c>
      <c r="AP2" s="55">
        <v>37</v>
      </c>
      <c r="AQ2" s="55">
        <v>38</v>
      </c>
      <c r="AR2" s="55">
        <v>39</v>
      </c>
      <c r="AS2" s="55">
        <v>40</v>
      </c>
      <c r="AT2" s="55">
        <v>41</v>
      </c>
      <c r="AU2" s="55">
        <v>42</v>
      </c>
      <c r="AV2" s="55">
        <v>43</v>
      </c>
      <c r="AW2" s="55">
        <v>44</v>
      </c>
      <c r="AX2" s="55">
        <v>45</v>
      </c>
      <c r="AY2" s="55">
        <v>46</v>
      </c>
      <c r="AZ2" s="55">
        <v>47</v>
      </c>
      <c r="BA2" s="55">
        <v>48</v>
      </c>
      <c r="BB2" s="55">
        <v>49</v>
      </c>
      <c r="BC2" s="55">
        <v>50</v>
      </c>
      <c r="BD2" s="55"/>
      <c r="BE2" s="55"/>
      <c r="BF2" s="55">
        <v>51</v>
      </c>
      <c r="BG2" s="55">
        <v>52</v>
      </c>
      <c r="BH2" s="55">
        <v>53</v>
      </c>
      <c r="BI2" s="55">
        <v>54</v>
      </c>
      <c r="BJ2" s="55">
        <v>55</v>
      </c>
      <c r="BK2" s="55">
        <v>56</v>
      </c>
      <c r="BL2" s="55">
        <v>57</v>
      </c>
      <c r="BM2" s="55">
        <v>58</v>
      </c>
      <c r="BN2" s="55">
        <v>59</v>
      </c>
      <c r="BO2" s="55">
        <v>60</v>
      </c>
      <c r="BP2" s="55">
        <v>61</v>
      </c>
      <c r="BQ2" s="55">
        <v>62</v>
      </c>
      <c r="BR2" s="55">
        <v>63</v>
      </c>
      <c r="BS2" s="55">
        <v>64</v>
      </c>
      <c r="BT2" s="55">
        <v>65</v>
      </c>
      <c r="BU2" s="55">
        <v>66</v>
      </c>
      <c r="BV2" s="55">
        <v>67</v>
      </c>
      <c r="BW2" s="55">
        <v>68</v>
      </c>
      <c r="BX2" s="55">
        <v>69</v>
      </c>
      <c r="BY2" s="144">
        <v>70</v>
      </c>
      <c r="BZ2" s="55">
        <v>71</v>
      </c>
      <c r="CA2" s="55">
        <v>72</v>
      </c>
      <c r="CB2" s="158">
        <v>73</v>
      </c>
      <c r="CC2" s="4"/>
      <c r="CD2" s="4">
        <v>75</v>
      </c>
      <c r="CE2" s="4">
        <v>76</v>
      </c>
      <c r="CF2" s="4">
        <v>77</v>
      </c>
      <c r="CG2" s="4">
        <v>78</v>
      </c>
      <c r="CH2" s="4"/>
      <c r="CI2" s="4"/>
      <c r="CJ2" s="4">
        <v>79</v>
      </c>
      <c r="CL2" s="4">
        <v>81</v>
      </c>
      <c r="CM2" s="4">
        <v>82</v>
      </c>
      <c r="CN2" s="4">
        <v>83</v>
      </c>
      <c r="CO2" s="4">
        <v>84</v>
      </c>
      <c r="CP2" s="4"/>
      <c r="CQ2" s="4"/>
      <c r="CR2" s="4">
        <v>85</v>
      </c>
      <c r="CS2" s="4">
        <v>86</v>
      </c>
      <c r="CT2" s="4">
        <v>87</v>
      </c>
      <c r="CU2" s="4">
        <v>88</v>
      </c>
    </row>
    <row r="3" spans="1:100" ht="15" thickBot="1" x14ac:dyDescent="0.35">
      <c r="D3" s="447" t="s">
        <v>35</v>
      </c>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56">
        <v>4272.37</v>
      </c>
      <c r="AF3" s="57">
        <v>5846</v>
      </c>
      <c r="AG3" s="57">
        <v>6590</v>
      </c>
      <c r="AH3" s="57">
        <v>544.67999999999995</v>
      </c>
      <c r="AI3" s="57">
        <v>544.67999999999995</v>
      </c>
      <c r="AJ3" s="57">
        <v>1166.3815999999999</v>
      </c>
      <c r="AK3" s="57">
        <v>1711.0598</v>
      </c>
      <c r="AL3" s="137">
        <v>258.58460000000002</v>
      </c>
      <c r="AM3" s="137">
        <v>313.6026</v>
      </c>
      <c r="AN3" s="137">
        <v>489.66019999999997</v>
      </c>
      <c r="AO3" s="137">
        <v>539.17639999999994</v>
      </c>
      <c r="AP3" s="137">
        <v>572.18719999999996</v>
      </c>
      <c r="AQ3" s="138">
        <v>753.74659999999994</v>
      </c>
      <c r="AR3" s="139">
        <v>374.12240000000003</v>
      </c>
      <c r="AS3" s="139">
        <v>495.16199999999998</v>
      </c>
      <c r="AT3" s="139">
        <v>698.72860000000003</v>
      </c>
      <c r="AU3" s="139">
        <v>764.75019999999995</v>
      </c>
      <c r="AV3" s="139">
        <v>819.76819999999998</v>
      </c>
      <c r="AW3" s="140">
        <v>1045.3420000000001</v>
      </c>
      <c r="AX3" s="57">
        <v>654.71</v>
      </c>
      <c r="AY3" s="57">
        <v>1755.07</v>
      </c>
      <c r="AZ3" s="57">
        <v>1292.92</v>
      </c>
      <c r="BA3" s="57">
        <v>1964.14</v>
      </c>
      <c r="BB3" s="57">
        <v>1061.8499999999999</v>
      </c>
      <c r="BC3" s="57">
        <v>1524</v>
      </c>
      <c r="BD3" s="57"/>
      <c r="BE3" s="57">
        <v>159662.236</v>
      </c>
      <c r="BF3" s="57">
        <v>159662.236</v>
      </c>
      <c r="BG3" s="58"/>
      <c r="BH3" s="58"/>
      <c r="BI3" s="57"/>
      <c r="BJ3" s="57"/>
      <c r="BK3" s="58"/>
      <c r="BL3" s="58"/>
      <c r="BM3" s="58"/>
      <c r="BN3" s="58"/>
      <c r="BO3" s="58"/>
      <c r="BP3" s="150">
        <f>BP95</f>
        <v>296893792.69765782</v>
      </c>
      <c r="BQ3" s="59"/>
      <c r="BR3" s="59"/>
      <c r="BS3" s="152">
        <f>BS95</f>
        <v>279436938.22427565</v>
      </c>
      <c r="BT3" s="60"/>
      <c r="BU3" s="59"/>
      <c r="BV3" s="61"/>
      <c r="BW3" s="59"/>
      <c r="BX3" s="150">
        <f>BX95</f>
        <v>755204.56943616841</v>
      </c>
      <c r="BY3" s="155">
        <f>BY95</f>
        <v>297678274.9334029</v>
      </c>
      <c r="BZ3" s="57">
        <v>1.28</v>
      </c>
      <c r="CA3" s="57">
        <v>11.02</v>
      </c>
      <c r="CB3" s="169"/>
      <c r="CD3" s="452" t="s">
        <v>15</v>
      </c>
      <c r="CE3" s="453"/>
      <c r="CF3" s="453"/>
      <c r="CG3" s="453"/>
      <c r="CH3" s="453"/>
      <c r="CI3" s="453"/>
      <c r="CJ3" s="454"/>
      <c r="CL3" s="449" t="s">
        <v>190</v>
      </c>
      <c r="CM3" s="450"/>
      <c r="CN3" s="450"/>
      <c r="CO3" s="450"/>
      <c r="CP3" s="450"/>
      <c r="CQ3" s="450"/>
      <c r="CR3" s="450"/>
      <c r="CS3" s="450"/>
      <c r="CT3" s="450"/>
      <c r="CU3" s="451"/>
    </row>
    <row r="4" spans="1:100" s="5" customFormat="1" ht="52.5" thickBot="1" x14ac:dyDescent="0.35">
      <c r="A4" s="54" t="s">
        <v>191</v>
      </c>
      <c r="B4" s="183" t="s">
        <v>191</v>
      </c>
      <c r="C4" s="445" t="s">
        <v>475</v>
      </c>
      <c r="D4" s="121" t="s">
        <v>192</v>
      </c>
      <c r="E4" s="122" t="s">
        <v>193</v>
      </c>
      <c r="F4" s="120" t="s">
        <v>194</v>
      </c>
      <c r="G4" s="120" t="s">
        <v>195</v>
      </c>
      <c r="H4" s="120" t="s">
        <v>196</v>
      </c>
      <c r="I4" s="120" t="s">
        <v>48</v>
      </c>
      <c r="J4" s="120" t="s">
        <v>50</v>
      </c>
      <c r="K4" s="120" t="s">
        <v>197</v>
      </c>
      <c r="L4" s="120" t="s">
        <v>54</v>
      </c>
      <c r="M4" s="120" t="s">
        <v>198</v>
      </c>
      <c r="N4" s="120" t="s">
        <v>199</v>
      </c>
      <c r="O4" s="120" t="s">
        <v>200</v>
      </c>
      <c r="P4" s="120" t="s">
        <v>201</v>
      </c>
      <c r="Q4" s="120" t="s">
        <v>202</v>
      </c>
      <c r="R4" s="120" t="s">
        <v>203</v>
      </c>
      <c r="S4" s="120" t="s">
        <v>204</v>
      </c>
      <c r="T4" s="120" t="s">
        <v>205</v>
      </c>
      <c r="U4" s="120" t="s">
        <v>206</v>
      </c>
      <c r="V4" s="120" t="s">
        <v>207</v>
      </c>
      <c r="W4" s="120" t="s">
        <v>208</v>
      </c>
      <c r="X4" s="120" t="s">
        <v>209</v>
      </c>
      <c r="Y4" s="120" t="s">
        <v>210</v>
      </c>
      <c r="Z4" s="120" t="s">
        <v>211</v>
      </c>
      <c r="AA4" s="120" t="s">
        <v>212</v>
      </c>
      <c r="AB4" s="120" t="s">
        <v>213</v>
      </c>
      <c r="AC4" s="120" t="s">
        <v>214</v>
      </c>
      <c r="AD4" s="120" t="s">
        <v>215</v>
      </c>
      <c r="AE4" s="62" t="s">
        <v>39</v>
      </c>
      <c r="AF4" s="62" t="s">
        <v>41</v>
      </c>
      <c r="AG4" s="62" t="s">
        <v>43</v>
      </c>
      <c r="AH4" s="132" t="s">
        <v>216</v>
      </c>
      <c r="AI4" s="132" t="s">
        <v>217</v>
      </c>
      <c r="AJ4" s="62" t="s">
        <v>218</v>
      </c>
      <c r="AK4" s="62" t="s">
        <v>219</v>
      </c>
      <c r="AL4" s="132" t="s">
        <v>198</v>
      </c>
      <c r="AM4" s="132" t="s">
        <v>199</v>
      </c>
      <c r="AN4" s="62" t="s">
        <v>200</v>
      </c>
      <c r="AO4" s="62" t="s">
        <v>201</v>
      </c>
      <c r="AP4" s="62" t="s">
        <v>202</v>
      </c>
      <c r="AQ4" s="62" t="s">
        <v>203</v>
      </c>
      <c r="AR4" s="62" t="s">
        <v>204</v>
      </c>
      <c r="AS4" s="62" t="s">
        <v>205</v>
      </c>
      <c r="AT4" s="62" t="s">
        <v>206</v>
      </c>
      <c r="AU4" s="136" t="s">
        <v>207</v>
      </c>
      <c r="AV4" s="62" t="s">
        <v>208</v>
      </c>
      <c r="AW4" s="62" t="s">
        <v>209</v>
      </c>
      <c r="AX4" s="62" t="s">
        <v>220</v>
      </c>
      <c r="AY4" s="62" t="s">
        <v>221</v>
      </c>
      <c r="AZ4" s="62" t="s">
        <v>222</v>
      </c>
      <c r="BA4" s="62" t="s">
        <v>223</v>
      </c>
      <c r="BB4" s="62" t="s">
        <v>224</v>
      </c>
      <c r="BC4" s="62" t="s">
        <v>225</v>
      </c>
      <c r="BD4" s="132" t="s">
        <v>226</v>
      </c>
      <c r="BE4" s="132" t="s">
        <v>227</v>
      </c>
      <c r="BF4" s="62" t="s">
        <v>228</v>
      </c>
      <c r="BG4" s="132" t="s">
        <v>229</v>
      </c>
      <c r="BH4" s="132" t="s">
        <v>230</v>
      </c>
      <c r="BI4" s="62" t="s">
        <v>231</v>
      </c>
      <c r="BJ4" s="62" t="s">
        <v>105</v>
      </c>
      <c r="BK4" s="62" t="s">
        <v>232</v>
      </c>
      <c r="BL4" s="62" t="s">
        <v>45</v>
      </c>
      <c r="BM4" s="132" t="s">
        <v>92</v>
      </c>
      <c r="BN4" s="132" t="s">
        <v>233</v>
      </c>
      <c r="BO4" s="132" t="s">
        <v>234</v>
      </c>
      <c r="BP4" s="165" t="s">
        <v>235</v>
      </c>
      <c r="BQ4" s="165" t="s">
        <v>236</v>
      </c>
      <c r="BR4" s="165" t="s">
        <v>237</v>
      </c>
      <c r="BS4" s="145" t="s">
        <v>238</v>
      </c>
      <c r="BT4" s="145" t="s">
        <v>239</v>
      </c>
      <c r="BU4" s="145" t="s">
        <v>240</v>
      </c>
      <c r="BV4" s="146" t="s">
        <v>241</v>
      </c>
      <c r="BW4" s="145" t="s">
        <v>242</v>
      </c>
      <c r="BX4" s="145" t="s">
        <v>243</v>
      </c>
      <c r="BY4" s="156" t="s">
        <v>127</v>
      </c>
      <c r="BZ4" s="145" t="s">
        <v>244</v>
      </c>
      <c r="CA4" s="145" t="s">
        <v>245</v>
      </c>
      <c r="CB4" s="168" t="s">
        <v>246</v>
      </c>
      <c r="CD4" s="209" t="s">
        <v>247</v>
      </c>
      <c r="CE4" s="210" t="s">
        <v>248</v>
      </c>
      <c r="CF4" s="208" t="s">
        <v>148</v>
      </c>
      <c r="CG4" s="175" t="s">
        <v>249</v>
      </c>
      <c r="CH4" s="177" t="s">
        <v>150</v>
      </c>
      <c r="CI4" s="177" t="s">
        <v>250</v>
      </c>
      <c r="CJ4" s="176" t="s">
        <v>251</v>
      </c>
      <c r="CL4" s="236" t="s">
        <v>252</v>
      </c>
      <c r="CM4" s="237" t="s">
        <v>253</v>
      </c>
      <c r="CN4" s="237" t="s">
        <v>254</v>
      </c>
      <c r="CO4" s="235" t="s">
        <v>255</v>
      </c>
      <c r="CP4" s="235" t="s">
        <v>256</v>
      </c>
      <c r="CQ4" s="235" t="s">
        <v>257</v>
      </c>
      <c r="CR4" s="235" t="s">
        <v>258</v>
      </c>
      <c r="CS4" s="237" t="s">
        <v>259</v>
      </c>
      <c r="CT4" s="166" t="s">
        <v>260</v>
      </c>
      <c r="CU4" s="167" t="s">
        <v>261</v>
      </c>
    </row>
    <row r="5" spans="1:100" ht="14" hidden="1" x14ac:dyDescent="0.25">
      <c r="A5" s="32">
        <v>3125412</v>
      </c>
      <c r="B5" s="184">
        <v>5412</v>
      </c>
      <c r="C5" s="178" t="s">
        <v>262</v>
      </c>
      <c r="D5" s="123">
        <v>1246</v>
      </c>
      <c r="E5" s="123">
        <v>0</v>
      </c>
      <c r="F5" s="123">
        <v>1246</v>
      </c>
      <c r="G5" s="123">
        <v>744</v>
      </c>
      <c r="H5" s="123">
        <v>502</v>
      </c>
      <c r="I5" s="123">
        <f t="shared" ref="I5:I36" si="0">IFERROR(AH5/AH$3,0)</f>
        <v>0</v>
      </c>
      <c r="J5" s="123">
        <f t="shared" ref="J5:J36" si="1">IFERROR(AI5/AI$3,0)</f>
        <v>448.99999999999955</v>
      </c>
      <c r="K5" s="123">
        <f t="shared" ref="K5:K36" si="2">IFERROR(AJ5/AJ$3,0)</f>
        <v>0</v>
      </c>
      <c r="L5" s="123">
        <f t="shared" ref="L5:L36" si="3">IFERROR(AK5/AK$3,0)</f>
        <v>486.00000000000011</v>
      </c>
      <c r="M5" s="123">
        <f t="shared" ref="M5:M36" si="4">IFERROR(AL5/AL$3,0)</f>
        <v>0</v>
      </c>
      <c r="N5" s="123">
        <f t="shared" ref="N5:N36" si="5">IFERROR(AM5/AM$3,0)</f>
        <v>0</v>
      </c>
      <c r="O5" s="123">
        <f t="shared" ref="O5:O36" si="6">IFERROR(AN5/AN$3,0)</f>
        <v>0</v>
      </c>
      <c r="P5" s="123">
        <f t="shared" ref="P5:P36" si="7">IFERROR(AO5/AO$3,0)</f>
        <v>0</v>
      </c>
      <c r="Q5" s="123">
        <f t="shared" ref="Q5:Q36" si="8">IFERROR(AP5/AP$3,0)</f>
        <v>0</v>
      </c>
      <c r="R5" s="123">
        <f t="shared" ref="R5:R36" si="9">IFERROR(AQ5/AQ$3,0)</f>
        <v>0</v>
      </c>
      <c r="S5" s="123">
        <f t="shared" ref="S5:S36" si="10">IFERROR(AR5/AR$3,0)</f>
        <v>363.0000000000004</v>
      </c>
      <c r="T5" s="123">
        <f t="shared" ref="T5:T36" si="11">IFERROR(AS5/AS$3,0)</f>
        <v>392.99999999999972</v>
      </c>
      <c r="U5" s="123">
        <f t="shared" ref="U5:U36" si="12">IFERROR(AT5/AT$3,0)</f>
        <v>68.000000000000043</v>
      </c>
      <c r="V5" s="123">
        <f t="shared" ref="V5:V36" si="13">IFERROR(AU5/AU$3,0)</f>
        <v>7.0000000000000027</v>
      </c>
      <c r="W5" s="123">
        <f t="shared" ref="W5:W36" si="14">IFERROR(AV5/AV$3,0)</f>
        <v>41.999999999999964</v>
      </c>
      <c r="X5" s="123">
        <f t="shared" ref="X5:X36" si="15">IFERROR(AW5/AW$3,0)</f>
        <v>0</v>
      </c>
      <c r="Y5" s="123">
        <f t="shared" ref="Y5:Y36" si="16">IFERROR(AX5/AX$3,0)</f>
        <v>0</v>
      </c>
      <c r="Z5" s="123">
        <f t="shared" ref="Z5:Z36" si="17">IFERROR(AY5/AY$3,0)</f>
        <v>77.062031803717773</v>
      </c>
      <c r="AA5" s="123">
        <f t="shared" ref="AA5:AA36" si="18">IFERROR(AZ5/AZ$3,0)</f>
        <v>0</v>
      </c>
      <c r="AB5" s="123">
        <f t="shared" ref="AB5:AB36" si="19">IFERROR(BA5/BA$3,0)</f>
        <v>278.79975985919884</v>
      </c>
      <c r="AC5" s="123">
        <f t="shared" ref="AC5:AC36" si="20">IFERROR(BB5/BB$3,0)</f>
        <v>0</v>
      </c>
      <c r="AD5" s="123">
        <f t="shared" ref="AD5:AD36" si="21">IFERROR(BC5/BC$3,0)</f>
        <v>0.48154589371982376</v>
      </c>
      <c r="AE5" s="126">
        <v>0</v>
      </c>
      <c r="AF5" s="73">
        <v>4349424</v>
      </c>
      <c r="AG5" s="129">
        <v>3308180</v>
      </c>
      <c r="AH5" s="129">
        <v>0</v>
      </c>
      <c r="AI5" s="129">
        <v>244561.31999999972</v>
      </c>
      <c r="AJ5" s="129">
        <v>0</v>
      </c>
      <c r="AK5" s="129">
        <v>831575.06280000019</v>
      </c>
      <c r="AL5" s="129">
        <v>0</v>
      </c>
      <c r="AM5" s="129">
        <v>0</v>
      </c>
      <c r="AN5" s="133">
        <v>0</v>
      </c>
      <c r="AO5" s="74">
        <v>0</v>
      </c>
      <c r="AP5" s="74">
        <v>0</v>
      </c>
      <c r="AQ5" s="74">
        <v>0</v>
      </c>
      <c r="AR5" s="74">
        <v>135806.43120000017</v>
      </c>
      <c r="AS5" s="74">
        <v>194598.66599999985</v>
      </c>
      <c r="AT5" s="74">
        <v>47513.544800000032</v>
      </c>
      <c r="AU5" s="74">
        <v>5353.2514000000019</v>
      </c>
      <c r="AV5" s="74">
        <v>34430.264399999971</v>
      </c>
      <c r="AW5" s="74">
        <v>0</v>
      </c>
      <c r="AX5" s="74">
        <v>0</v>
      </c>
      <c r="AY5" s="74">
        <v>135249.26015775095</v>
      </c>
      <c r="AZ5" s="74">
        <v>0</v>
      </c>
      <c r="BA5" s="64">
        <v>547601.76032984687</v>
      </c>
      <c r="BB5" s="74">
        <v>0</v>
      </c>
      <c r="BC5" s="141">
        <v>733.87594202901141</v>
      </c>
      <c r="BD5" s="141">
        <v>0</v>
      </c>
      <c r="BE5" s="141"/>
      <c r="BF5" s="141">
        <v>159662.24</v>
      </c>
      <c r="BG5" s="141">
        <v>66087.839999999997</v>
      </c>
      <c r="BH5" s="141"/>
      <c r="BI5" s="133">
        <v>0</v>
      </c>
      <c r="BJ5" s="74"/>
      <c r="BK5" s="74"/>
      <c r="BL5" s="141">
        <v>7657604</v>
      </c>
      <c r="BM5" s="141">
        <v>2177423.4370296267</v>
      </c>
      <c r="BN5" s="141">
        <v>225750.076</v>
      </c>
      <c r="BO5" s="141">
        <v>1047101.2500384804</v>
      </c>
      <c r="BP5" s="141">
        <v>10060777.513029626</v>
      </c>
      <c r="BQ5" s="141">
        <v>0</v>
      </c>
      <c r="BR5" s="141">
        <v>10060777.513029624</v>
      </c>
      <c r="BS5" s="141">
        <v>9835027.4370296262</v>
      </c>
      <c r="BT5" s="141">
        <v>7893.2804470542751</v>
      </c>
      <c r="BU5" s="141">
        <v>7823.4818132270912</v>
      </c>
      <c r="BV5" s="147">
        <v>8.9216841674222367E-3</v>
      </c>
      <c r="BW5" s="147">
        <v>0</v>
      </c>
      <c r="BX5" s="141">
        <v>0</v>
      </c>
      <c r="BY5" s="218">
        <v>10060777.513029626</v>
      </c>
      <c r="BZ5" s="141">
        <v>0</v>
      </c>
      <c r="CA5" s="141">
        <v>0</v>
      </c>
      <c r="CB5" s="187">
        <v>10060777.513029626</v>
      </c>
      <c r="CC5" s="2"/>
      <c r="CD5" s="211">
        <f>IFERROR(VLOOKUP(B5,#REF!,29,0),0)</f>
        <v>0</v>
      </c>
      <c r="CE5" s="190">
        <f>IFERROR(VLOOKUP(B5,#REF!,28,0),0)</f>
        <v>0</v>
      </c>
      <c r="CF5" s="142"/>
      <c r="CG5" s="191"/>
      <c r="CH5" s="228">
        <v>0</v>
      </c>
      <c r="CI5" s="228">
        <v>0</v>
      </c>
      <c r="CJ5" s="225">
        <v>154151</v>
      </c>
      <c r="CL5" s="401">
        <v>0</v>
      </c>
      <c r="CM5" s="402">
        <v>0</v>
      </c>
      <c r="CN5" s="402">
        <v>0</v>
      </c>
      <c r="CO5" s="402">
        <v>0</v>
      </c>
      <c r="CP5" s="402">
        <v>0</v>
      </c>
      <c r="CQ5" s="402">
        <v>0</v>
      </c>
      <c r="CR5" s="402">
        <v>0</v>
      </c>
      <c r="CS5" s="402">
        <v>0</v>
      </c>
      <c r="CT5" s="204"/>
      <c r="CU5" s="192"/>
      <c r="CV5" s="2"/>
    </row>
    <row r="6" spans="1:100" ht="14" hidden="1" x14ac:dyDescent="0.25">
      <c r="A6" s="32">
        <v>3122001</v>
      </c>
      <c r="B6" s="184">
        <v>2001</v>
      </c>
      <c r="C6" s="179" t="s">
        <v>263</v>
      </c>
      <c r="D6" s="124">
        <v>539</v>
      </c>
      <c r="E6" s="124">
        <v>539</v>
      </c>
      <c r="F6" s="124">
        <v>0</v>
      </c>
      <c r="G6" s="124">
        <v>0</v>
      </c>
      <c r="H6" s="124">
        <v>0</v>
      </c>
      <c r="I6" s="124">
        <f t="shared" si="0"/>
        <v>158.99999999999994</v>
      </c>
      <c r="J6" s="124">
        <f t="shared" si="1"/>
        <v>0</v>
      </c>
      <c r="K6" s="124">
        <f t="shared" si="2"/>
        <v>165.00000000000009</v>
      </c>
      <c r="L6" s="124">
        <f t="shared" si="3"/>
        <v>0</v>
      </c>
      <c r="M6" s="124">
        <f t="shared" si="4"/>
        <v>105.99999999999994</v>
      </c>
      <c r="N6" s="124">
        <f t="shared" si="5"/>
        <v>166.99999999999977</v>
      </c>
      <c r="O6" s="124">
        <f t="shared" si="6"/>
        <v>87.000000000000171</v>
      </c>
      <c r="P6" s="124">
        <f t="shared" si="7"/>
        <v>4.0000000000000027</v>
      </c>
      <c r="Q6" s="124">
        <f t="shared" si="8"/>
        <v>15.999999999999977</v>
      </c>
      <c r="R6" s="124">
        <f t="shared" si="9"/>
        <v>0</v>
      </c>
      <c r="S6" s="124">
        <f t="shared" si="10"/>
        <v>0</v>
      </c>
      <c r="T6" s="124">
        <f t="shared" si="11"/>
        <v>0</v>
      </c>
      <c r="U6" s="124">
        <f t="shared" si="12"/>
        <v>0</v>
      </c>
      <c r="V6" s="124">
        <f t="shared" si="13"/>
        <v>0</v>
      </c>
      <c r="W6" s="124">
        <f t="shared" si="14"/>
        <v>0</v>
      </c>
      <c r="X6" s="124">
        <f t="shared" si="15"/>
        <v>0</v>
      </c>
      <c r="Y6" s="124">
        <f t="shared" si="16"/>
        <v>163.54273504273482</v>
      </c>
      <c r="Z6" s="124">
        <f t="shared" si="17"/>
        <v>0</v>
      </c>
      <c r="AA6" s="124">
        <f t="shared" si="18"/>
        <v>186.22842523021669</v>
      </c>
      <c r="AB6" s="124">
        <f t="shared" si="19"/>
        <v>0</v>
      </c>
      <c r="AC6" s="124">
        <f t="shared" si="20"/>
        <v>0</v>
      </c>
      <c r="AD6" s="124">
        <f t="shared" si="21"/>
        <v>0</v>
      </c>
      <c r="AE6" s="127">
        <v>2302807.4300000002</v>
      </c>
      <c r="AF6" s="63">
        <v>0</v>
      </c>
      <c r="AG6" s="130">
        <v>0</v>
      </c>
      <c r="AH6" s="130">
        <v>86604.119999999966</v>
      </c>
      <c r="AI6" s="130">
        <v>0</v>
      </c>
      <c r="AJ6" s="130">
        <v>192452.96400000009</v>
      </c>
      <c r="AK6" s="130">
        <v>0</v>
      </c>
      <c r="AL6" s="130">
        <v>27409.967599999989</v>
      </c>
      <c r="AM6" s="130">
        <v>52371.634199999928</v>
      </c>
      <c r="AN6" s="134">
        <v>42600.437400000083</v>
      </c>
      <c r="AO6" s="64">
        <v>2156.7056000000011</v>
      </c>
      <c r="AP6" s="64">
        <v>9154.9951999999867</v>
      </c>
      <c r="AQ6" s="64">
        <v>0</v>
      </c>
      <c r="AR6" s="64">
        <v>0</v>
      </c>
      <c r="AS6" s="64">
        <v>0</v>
      </c>
      <c r="AT6" s="64">
        <v>0</v>
      </c>
      <c r="AU6" s="64">
        <v>0</v>
      </c>
      <c r="AV6" s="64">
        <v>0</v>
      </c>
      <c r="AW6" s="64">
        <v>0</v>
      </c>
      <c r="AX6" s="64">
        <v>107073.06405982892</v>
      </c>
      <c r="AY6" s="64">
        <v>0</v>
      </c>
      <c r="AZ6" s="64">
        <v>240778.45554865178</v>
      </c>
      <c r="BA6" s="64">
        <v>0</v>
      </c>
      <c r="BB6" s="64">
        <v>0</v>
      </c>
      <c r="BC6" s="142">
        <v>0</v>
      </c>
      <c r="BD6" s="142">
        <v>0</v>
      </c>
      <c r="BE6" s="142">
        <v>159662.24</v>
      </c>
      <c r="BF6" s="142"/>
      <c r="BG6" s="142">
        <v>12904.32</v>
      </c>
      <c r="BH6" s="142"/>
      <c r="BI6" s="134">
        <v>0</v>
      </c>
      <c r="BJ6" s="64"/>
      <c r="BK6" s="64"/>
      <c r="BL6" s="142">
        <v>2302807.4300000002</v>
      </c>
      <c r="BM6" s="142">
        <v>760602.34360848076</v>
      </c>
      <c r="BN6" s="142">
        <v>172566.55600000001</v>
      </c>
      <c r="BO6" s="142">
        <v>461906.33522773272</v>
      </c>
      <c r="BP6" s="142">
        <v>3235976.3296084809</v>
      </c>
      <c r="BQ6" s="142">
        <v>3235976.3296084809</v>
      </c>
      <c r="BR6" s="142">
        <v>0</v>
      </c>
      <c r="BS6" s="142">
        <v>3063409.773608481</v>
      </c>
      <c r="BT6" s="142">
        <v>5683.5060734851222</v>
      </c>
      <c r="BU6" s="142">
        <v>5635.5061373406188</v>
      </c>
      <c r="BV6" s="148">
        <v>8.517413516145057E-3</v>
      </c>
      <c r="BW6" s="148">
        <v>0</v>
      </c>
      <c r="BX6" s="142">
        <v>0</v>
      </c>
      <c r="BY6" s="219">
        <v>3235976.3296084809</v>
      </c>
      <c r="BZ6" s="142">
        <v>0</v>
      </c>
      <c r="CA6" s="142">
        <v>0</v>
      </c>
      <c r="CB6" s="188">
        <v>3235976.3296084809</v>
      </c>
      <c r="CC6" s="2"/>
      <c r="CD6" s="212">
        <f>IFERROR(VLOOKUP(B6,#REF!,29,0),0)</f>
        <v>0</v>
      </c>
      <c r="CE6" s="193">
        <f>IFERROR(VLOOKUP(B6,#REF!,28,0),0)</f>
        <v>0</v>
      </c>
      <c r="CF6" s="142"/>
      <c r="CG6" s="194"/>
      <c r="CH6" s="229">
        <v>0</v>
      </c>
      <c r="CI6" s="229">
        <v>0</v>
      </c>
      <c r="CJ6" s="226">
        <v>211867</v>
      </c>
      <c r="CL6" s="401">
        <v>0</v>
      </c>
      <c r="CM6" s="402">
        <v>0</v>
      </c>
      <c r="CN6" s="402">
        <v>0</v>
      </c>
      <c r="CO6" s="402">
        <v>0</v>
      </c>
      <c r="CP6" s="402">
        <v>26932.5</v>
      </c>
      <c r="CQ6" s="402">
        <v>78104.25</v>
      </c>
      <c r="CR6" s="402">
        <v>0</v>
      </c>
      <c r="CS6" s="402">
        <v>0</v>
      </c>
      <c r="CT6" s="206"/>
      <c r="CU6" s="195"/>
      <c r="CV6" s="2"/>
    </row>
    <row r="7" spans="1:100" ht="14" hidden="1" x14ac:dyDescent="0.25">
      <c r="A7" s="32">
        <v>3124600</v>
      </c>
      <c r="B7" s="184">
        <v>4600</v>
      </c>
      <c r="C7" s="179" t="s">
        <v>264</v>
      </c>
      <c r="D7" s="124">
        <v>951</v>
      </c>
      <c r="E7" s="124">
        <v>0</v>
      </c>
      <c r="F7" s="124">
        <v>951</v>
      </c>
      <c r="G7" s="124">
        <v>582</v>
      </c>
      <c r="H7" s="124">
        <v>369</v>
      </c>
      <c r="I7" s="124">
        <f t="shared" si="0"/>
        <v>0</v>
      </c>
      <c r="J7" s="124">
        <f t="shared" si="1"/>
        <v>103.00000000000041</v>
      </c>
      <c r="K7" s="124">
        <f t="shared" si="2"/>
        <v>0</v>
      </c>
      <c r="L7" s="124">
        <f t="shared" si="3"/>
        <v>112.0000000000001</v>
      </c>
      <c r="M7" s="124">
        <f t="shared" si="4"/>
        <v>0</v>
      </c>
      <c r="N7" s="124">
        <f t="shared" si="5"/>
        <v>0</v>
      </c>
      <c r="O7" s="124">
        <f t="shared" si="6"/>
        <v>0</v>
      </c>
      <c r="P7" s="124">
        <f t="shared" si="7"/>
        <v>0</v>
      </c>
      <c r="Q7" s="124">
        <f t="shared" si="8"/>
        <v>0</v>
      </c>
      <c r="R7" s="124">
        <f t="shared" si="9"/>
        <v>0</v>
      </c>
      <c r="S7" s="124">
        <f t="shared" si="10"/>
        <v>132.13894736842141</v>
      </c>
      <c r="T7" s="124">
        <f t="shared" si="11"/>
        <v>82.086315789473687</v>
      </c>
      <c r="U7" s="124">
        <f t="shared" si="12"/>
        <v>30.03157894736847</v>
      </c>
      <c r="V7" s="124">
        <f t="shared" si="13"/>
        <v>0</v>
      </c>
      <c r="W7" s="124">
        <f t="shared" si="14"/>
        <v>2.0021052631578975</v>
      </c>
      <c r="X7" s="124">
        <f t="shared" si="15"/>
        <v>0</v>
      </c>
      <c r="Y7" s="124">
        <f t="shared" si="16"/>
        <v>0</v>
      </c>
      <c r="Z7" s="124">
        <f t="shared" si="17"/>
        <v>9.0094952444841798</v>
      </c>
      <c r="AA7" s="124">
        <f t="shared" si="18"/>
        <v>0</v>
      </c>
      <c r="AB7" s="124">
        <f t="shared" si="19"/>
        <v>126.42988725111448</v>
      </c>
      <c r="AC7" s="124">
        <f t="shared" si="20"/>
        <v>0</v>
      </c>
      <c r="AD7" s="124">
        <f t="shared" si="21"/>
        <v>0</v>
      </c>
      <c r="AE7" s="127">
        <v>0</v>
      </c>
      <c r="AF7" s="63">
        <v>3402372</v>
      </c>
      <c r="AG7" s="130">
        <v>2431710</v>
      </c>
      <c r="AH7" s="130">
        <v>0</v>
      </c>
      <c r="AI7" s="130">
        <v>56102.040000000219</v>
      </c>
      <c r="AJ7" s="130">
        <v>0</v>
      </c>
      <c r="AK7" s="130">
        <v>191638.69760000016</v>
      </c>
      <c r="AL7" s="130">
        <v>0</v>
      </c>
      <c r="AM7" s="130">
        <v>0</v>
      </c>
      <c r="AN7" s="134">
        <v>0</v>
      </c>
      <c r="AO7" s="64">
        <v>0</v>
      </c>
      <c r="AP7" s="64">
        <v>0</v>
      </c>
      <c r="AQ7" s="64">
        <v>0</v>
      </c>
      <c r="AR7" s="64">
        <v>49436.140122947509</v>
      </c>
      <c r="AS7" s="64">
        <v>40646.02429894737</v>
      </c>
      <c r="AT7" s="64">
        <v>20983.923113684246</v>
      </c>
      <c r="AU7" s="64">
        <v>0</v>
      </c>
      <c r="AV7" s="64">
        <v>1641.2622277894759</v>
      </c>
      <c r="AW7" s="64">
        <v>0</v>
      </c>
      <c r="AX7" s="64">
        <v>0</v>
      </c>
      <c r="AY7" s="64">
        <v>15812.294818736849</v>
      </c>
      <c r="AZ7" s="64">
        <v>0</v>
      </c>
      <c r="BA7" s="64">
        <v>248325.99874540401</v>
      </c>
      <c r="BB7" s="64">
        <v>0</v>
      </c>
      <c r="BC7" s="142">
        <v>0</v>
      </c>
      <c r="BD7" s="142">
        <v>0</v>
      </c>
      <c r="BE7" s="142"/>
      <c r="BF7" s="142">
        <v>159662.24</v>
      </c>
      <c r="BG7" s="142">
        <v>28154.880000000001</v>
      </c>
      <c r="BH7" s="142"/>
      <c r="BI7" s="134">
        <v>0</v>
      </c>
      <c r="BJ7" s="64"/>
      <c r="BK7" s="64"/>
      <c r="BL7" s="142">
        <v>5834082</v>
      </c>
      <c r="BM7" s="142">
        <v>624586.38092750986</v>
      </c>
      <c r="BN7" s="142">
        <v>187817.11600000001</v>
      </c>
      <c r="BO7" s="142">
        <v>441360.19686332269</v>
      </c>
      <c r="BP7" s="142">
        <v>6646485.49692751</v>
      </c>
      <c r="BQ7" s="142">
        <v>0</v>
      </c>
      <c r="BR7" s="142">
        <v>6646485.49692751</v>
      </c>
      <c r="BS7" s="142">
        <v>6458668.3809275106</v>
      </c>
      <c r="BT7" s="142">
        <v>6791.4494016062154</v>
      </c>
      <c r="BU7" s="142">
        <v>6748.1624739614999</v>
      </c>
      <c r="BV7" s="148">
        <v>6.4146243976404881E-3</v>
      </c>
      <c r="BW7" s="148">
        <v>0</v>
      </c>
      <c r="BX7" s="142">
        <v>0</v>
      </c>
      <c r="BY7" s="219">
        <v>6646485.49692751</v>
      </c>
      <c r="BZ7" s="142">
        <v>0</v>
      </c>
      <c r="CA7" s="142">
        <v>0</v>
      </c>
      <c r="CB7" s="188">
        <v>6646485.49692751</v>
      </c>
      <c r="CC7" s="2"/>
      <c r="CD7" s="212">
        <f>IFERROR(VLOOKUP(B7,#REF!,29,0),0)</f>
        <v>0</v>
      </c>
      <c r="CE7" s="193">
        <f>IFERROR(VLOOKUP(B7,#REF!,28,0),0)</f>
        <v>0</v>
      </c>
      <c r="CF7" s="142"/>
      <c r="CG7" s="194"/>
      <c r="CH7" s="229">
        <v>0</v>
      </c>
      <c r="CI7" s="229">
        <v>0</v>
      </c>
      <c r="CJ7" s="226">
        <v>101100</v>
      </c>
      <c r="CL7" s="401">
        <v>0</v>
      </c>
      <c r="CM7" s="402">
        <v>0</v>
      </c>
      <c r="CN7" s="402">
        <v>0</v>
      </c>
      <c r="CO7" s="402">
        <v>0</v>
      </c>
      <c r="CP7" s="402">
        <v>0</v>
      </c>
      <c r="CQ7" s="402">
        <v>0</v>
      </c>
      <c r="CR7" s="402">
        <v>0</v>
      </c>
      <c r="CS7" s="402">
        <v>0</v>
      </c>
      <c r="CT7" s="206"/>
      <c r="CU7" s="195"/>
      <c r="CV7" s="2"/>
    </row>
    <row r="8" spans="1:100" ht="14" x14ac:dyDescent="0.25">
      <c r="A8" s="32">
        <v>3123300</v>
      </c>
      <c r="B8" s="184">
        <v>3300</v>
      </c>
      <c r="C8" s="179" t="s">
        <v>265</v>
      </c>
      <c r="D8" s="124">
        <v>202</v>
      </c>
      <c r="E8" s="124">
        <v>202</v>
      </c>
      <c r="F8" s="124">
        <v>0</v>
      </c>
      <c r="G8" s="124">
        <v>0</v>
      </c>
      <c r="H8" s="124">
        <v>0</v>
      </c>
      <c r="I8" s="124">
        <f t="shared" si="0"/>
        <v>30.000000000000099</v>
      </c>
      <c r="J8" s="124">
        <f t="shared" si="1"/>
        <v>0</v>
      </c>
      <c r="K8" s="124">
        <f t="shared" si="2"/>
        <v>30.000000000000099</v>
      </c>
      <c r="L8" s="124">
        <f t="shared" si="3"/>
        <v>0</v>
      </c>
      <c r="M8" s="124">
        <f t="shared" si="4"/>
        <v>30.999999999999904</v>
      </c>
      <c r="N8" s="124">
        <f t="shared" si="5"/>
        <v>7.0000000000000098</v>
      </c>
      <c r="O8" s="124">
        <f t="shared" si="6"/>
        <v>3.0000000000000098</v>
      </c>
      <c r="P8" s="124">
        <f t="shared" si="7"/>
        <v>0</v>
      </c>
      <c r="Q8" s="124">
        <f t="shared" si="8"/>
        <v>0</v>
      </c>
      <c r="R8" s="124">
        <f t="shared" si="9"/>
        <v>0</v>
      </c>
      <c r="S8" s="124">
        <f t="shared" si="10"/>
        <v>0</v>
      </c>
      <c r="T8" s="124">
        <f t="shared" si="11"/>
        <v>0</v>
      </c>
      <c r="U8" s="124">
        <f t="shared" si="12"/>
        <v>0</v>
      </c>
      <c r="V8" s="124">
        <f t="shared" si="13"/>
        <v>0</v>
      </c>
      <c r="W8" s="124">
        <f t="shared" si="14"/>
        <v>0</v>
      </c>
      <c r="X8" s="124">
        <f t="shared" si="15"/>
        <v>0</v>
      </c>
      <c r="Y8" s="124">
        <f t="shared" si="16"/>
        <v>12.918604651162784</v>
      </c>
      <c r="Z8" s="124">
        <f t="shared" si="17"/>
        <v>0</v>
      </c>
      <c r="AA8" s="124">
        <f t="shared" si="18"/>
        <v>46.428446287022318</v>
      </c>
      <c r="AB8" s="124">
        <f t="shared" si="19"/>
        <v>0</v>
      </c>
      <c r="AC8" s="124">
        <f t="shared" si="20"/>
        <v>13.880000000000058</v>
      </c>
      <c r="AD8" s="124">
        <f t="shared" si="21"/>
        <v>0</v>
      </c>
      <c r="AE8" s="127">
        <v>863018.74</v>
      </c>
      <c r="AF8" s="63">
        <v>0</v>
      </c>
      <c r="AG8" s="130">
        <v>0</v>
      </c>
      <c r="AH8" s="130">
        <v>16340.400000000052</v>
      </c>
      <c r="AI8" s="130">
        <v>0</v>
      </c>
      <c r="AJ8" s="130">
        <v>34991.448000000113</v>
      </c>
      <c r="AK8" s="130">
        <v>0</v>
      </c>
      <c r="AL8" s="130">
        <v>8016.122599999976</v>
      </c>
      <c r="AM8" s="130">
        <v>2195.218200000003</v>
      </c>
      <c r="AN8" s="134">
        <v>1468.9806000000046</v>
      </c>
      <c r="AO8" s="64">
        <v>0</v>
      </c>
      <c r="AP8" s="64">
        <v>0</v>
      </c>
      <c r="AQ8" s="64">
        <v>0</v>
      </c>
      <c r="AR8" s="64">
        <v>0</v>
      </c>
      <c r="AS8" s="64">
        <v>0</v>
      </c>
      <c r="AT8" s="64">
        <v>0</v>
      </c>
      <c r="AU8" s="64">
        <v>0</v>
      </c>
      <c r="AV8" s="64">
        <v>0</v>
      </c>
      <c r="AW8" s="64">
        <v>0</v>
      </c>
      <c r="AX8" s="64">
        <v>8457.9396511627874</v>
      </c>
      <c r="AY8" s="64">
        <v>0</v>
      </c>
      <c r="AZ8" s="64">
        <v>60028.266773416901</v>
      </c>
      <c r="BA8" s="64">
        <v>0</v>
      </c>
      <c r="BB8" s="64">
        <v>14738.478000000059</v>
      </c>
      <c r="BC8" s="142">
        <v>0</v>
      </c>
      <c r="BD8" s="142">
        <v>0</v>
      </c>
      <c r="BE8" s="142">
        <v>159662.24</v>
      </c>
      <c r="BF8" s="142"/>
      <c r="BG8" s="142">
        <v>5910.6944000000003</v>
      </c>
      <c r="BH8" s="142"/>
      <c r="BI8" s="134">
        <v>0</v>
      </c>
      <c r="BJ8" s="64"/>
      <c r="BK8" s="64"/>
      <c r="BL8" s="142">
        <v>863018.74</v>
      </c>
      <c r="BM8" s="142">
        <v>146236.85382457988</v>
      </c>
      <c r="BN8" s="142">
        <v>165572.93040000001</v>
      </c>
      <c r="BO8" s="142">
        <v>117057.97040901193</v>
      </c>
      <c r="BP8" s="142">
        <v>1174828.5242245798</v>
      </c>
      <c r="BQ8" s="142">
        <v>1174828.5242245798</v>
      </c>
      <c r="BR8" s="142">
        <v>0</v>
      </c>
      <c r="BS8" s="142">
        <v>1009255.5938245797</v>
      </c>
      <c r="BT8" s="142">
        <v>4996.3148209137607</v>
      </c>
      <c r="BU8" s="142">
        <v>5089.6617277227715</v>
      </c>
      <c r="BV8" s="148">
        <v>-1.8340493298515587E-2</v>
      </c>
      <c r="BW8" s="148">
        <v>1.8340493298515587E-2</v>
      </c>
      <c r="BX8" s="142">
        <v>18856.07517542017</v>
      </c>
      <c r="BY8" s="219">
        <v>1193684.5993999999</v>
      </c>
      <c r="BZ8" s="142">
        <v>258.56</v>
      </c>
      <c r="CA8" s="142">
        <v>2226.04</v>
      </c>
      <c r="CB8" s="188">
        <v>1191199.9993999999</v>
      </c>
      <c r="CC8" s="2"/>
      <c r="CD8" s="212">
        <f>IFERROR(VLOOKUP(B8,#REF!,29,0),0)</f>
        <v>0</v>
      </c>
      <c r="CE8" s="193">
        <f>IFERROR(VLOOKUP(B8,#REF!,28,0),0)</f>
        <v>0</v>
      </c>
      <c r="CF8" s="142"/>
      <c r="CG8" s="194"/>
      <c r="CH8" s="229">
        <v>0</v>
      </c>
      <c r="CI8" s="229">
        <v>0</v>
      </c>
      <c r="CJ8" s="226">
        <v>67277</v>
      </c>
      <c r="CL8" s="401">
        <v>54760</v>
      </c>
      <c r="CM8" s="402">
        <v>7370</v>
      </c>
      <c r="CN8" s="402" t="s">
        <v>266</v>
      </c>
      <c r="CO8" s="402">
        <v>7371</v>
      </c>
      <c r="CP8" s="402">
        <v>11157.75</v>
      </c>
      <c r="CQ8" s="402">
        <v>32357.475000000002</v>
      </c>
      <c r="CR8" s="402">
        <v>27206.1</v>
      </c>
      <c r="CS8" s="402">
        <v>0</v>
      </c>
      <c r="CT8" s="206"/>
      <c r="CU8" s="195"/>
      <c r="CV8" s="2"/>
    </row>
    <row r="9" spans="1:100" ht="14.15" hidden="1" customHeight="1" x14ac:dyDescent="0.25">
      <c r="A9" s="32">
        <v>3125400</v>
      </c>
      <c r="B9" s="184">
        <v>5400</v>
      </c>
      <c r="C9" s="179" t="s">
        <v>42</v>
      </c>
      <c r="D9" s="124">
        <v>952</v>
      </c>
      <c r="E9" s="124">
        <v>0</v>
      </c>
      <c r="F9" s="124">
        <v>952</v>
      </c>
      <c r="G9" s="124">
        <v>583</v>
      </c>
      <c r="H9" s="124">
        <v>369</v>
      </c>
      <c r="I9" s="124">
        <f t="shared" si="0"/>
        <v>0</v>
      </c>
      <c r="J9" s="124">
        <f t="shared" si="1"/>
        <v>260</v>
      </c>
      <c r="K9" s="124">
        <f t="shared" si="2"/>
        <v>0</v>
      </c>
      <c r="L9" s="124">
        <f t="shared" si="3"/>
        <v>264.00000000000011</v>
      </c>
      <c r="M9" s="124">
        <f t="shared" si="4"/>
        <v>0</v>
      </c>
      <c r="N9" s="124">
        <f t="shared" si="5"/>
        <v>0</v>
      </c>
      <c r="O9" s="124">
        <f t="shared" si="6"/>
        <v>0</v>
      </c>
      <c r="P9" s="124">
        <f t="shared" si="7"/>
        <v>0</v>
      </c>
      <c r="Q9" s="124">
        <f t="shared" si="8"/>
        <v>0</v>
      </c>
      <c r="R9" s="124">
        <f t="shared" si="9"/>
        <v>0</v>
      </c>
      <c r="S9" s="124">
        <f t="shared" si="10"/>
        <v>220.00000000000011</v>
      </c>
      <c r="T9" s="124">
        <f t="shared" si="11"/>
        <v>216.99999999999977</v>
      </c>
      <c r="U9" s="124">
        <f t="shared" si="12"/>
        <v>23.999999999999961</v>
      </c>
      <c r="V9" s="124">
        <f t="shared" si="13"/>
        <v>1.9999999999999962</v>
      </c>
      <c r="W9" s="124">
        <f t="shared" si="14"/>
        <v>0</v>
      </c>
      <c r="X9" s="124">
        <f t="shared" si="15"/>
        <v>0</v>
      </c>
      <c r="Y9" s="124">
        <f t="shared" si="16"/>
        <v>0</v>
      </c>
      <c r="Z9" s="124">
        <f t="shared" si="17"/>
        <v>26.082254197252873</v>
      </c>
      <c r="AA9" s="124">
        <f t="shared" si="18"/>
        <v>0</v>
      </c>
      <c r="AB9" s="124">
        <f t="shared" si="19"/>
        <v>224.18834652936471</v>
      </c>
      <c r="AC9" s="124">
        <f t="shared" si="20"/>
        <v>0</v>
      </c>
      <c r="AD9" s="124">
        <f t="shared" si="21"/>
        <v>0</v>
      </c>
      <c r="AE9" s="127">
        <v>0</v>
      </c>
      <c r="AF9" s="63">
        <v>3408218</v>
      </c>
      <c r="AG9" s="130">
        <v>2431710</v>
      </c>
      <c r="AH9" s="130">
        <v>0</v>
      </c>
      <c r="AI9" s="130">
        <v>141616.79999999999</v>
      </c>
      <c r="AJ9" s="130">
        <v>0</v>
      </c>
      <c r="AK9" s="130">
        <v>451719.7872000002</v>
      </c>
      <c r="AL9" s="130">
        <v>0</v>
      </c>
      <c r="AM9" s="130">
        <v>0</v>
      </c>
      <c r="AN9" s="134">
        <v>0</v>
      </c>
      <c r="AO9" s="64">
        <v>0</v>
      </c>
      <c r="AP9" s="64">
        <v>0</v>
      </c>
      <c r="AQ9" s="64">
        <v>0</v>
      </c>
      <c r="AR9" s="64">
        <v>82306.928000000044</v>
      </c>
      <c r="AS9" s="64">
        <v>107450.15399999988</v>
      </c>
      <c r="AT9" s="64">
        <v>16769.486399999972</v>
      </c>
      <c r="AU9" s="64">
        <v>1529.5003999999969</v>
      </c>
      <c r="AV9" s="64">
        <v>0</v>
      </c>
      <c r="AW9" s="64">
        <v>0</v>
      </c>
      <c r="AX9" s="64">
        <v>0</v>
      </c>
      <c r="AY9" s="64">
        <v>45776.1818739726</v>
      </c>
      <c r="AZ9" s="64">
        <v>0</v>
      </c>
      <c r="BA9" s="64">
        <v>440337.29895218642</v>
      </c>
      <c r="BB9" s="64">
        <v>0</v>
      </c>
      <c r="BC9" s="142">
        <v>0</v>
      </c>
      <c r="BD9" s="142">
        <v>0</v>
      </c>
      <c r="BE9" s="142"/>
      <c r="BF9" s="142">
        <v>159662.24</v>
      </c>
      <c r="BG9" s="142">
        <v>41645.760000000002</v>
      </c>
      <c r="BH9" s="142"/>
      <c r="BI9" s="134">
        <v>0</v>
      </c>
      <c r="BJ9" s="64"/>
      <c r="BK9" s="64"/>
      <c r="BL9" s="142">
        <v>5839928</v>
      </c>
      <c r="BM9" s="142">
        <v>1287506.1368261592</v>
      </c>
      <c r="BN9" s="142">
        <v>201307.99600000001</v>
      </c>
      <c r="BO9" s="142">
        <v>717869.94296727108</v>
      </c>
      <c r="BP9" s="142">
        <v>7328742.1328261597</v>
      </c>
      <c r="BQ9" s="142">
        <v>0</v>
      </c>
      <c r="BR9" s="142">
        <v>7328742.1328261597</v>
      </c>
      <c r="BS9" s="142">
        <v>7127434.1368261604</v>
      </c>
      <c r="BT9" s="142">
        <v>7486.8005638930254</v>
      </c>
      <c r="BU9" s="142">
        <v>7371.8926002076842</v>
      </c>
      <c r="BV9" s="148">
        <v>1.5587308431772862E-2</v>
      </c>
      <c r="BW9" s="148">
        <v>0</v>
      </c>
      <c r="BX9" s="142">
        <v>0</v>
      </c>
      <c r="BY9" s="219">
        <v>7328742.1328261597</v>
      </c>
      <c r="BZ9" s="142">
        <v>0</v>
      </c>
      <c r="CA9" s="142">
        <v>0</v>
      </c>
      <c r="CB9" s="188">
        <v>7328742.1328261597</v>
      </c>
      <c r="CC9" s="2"/>
      <c r="CD9" s="212">
        <f>IFERROR(VLOOKUP(B9,#REF!,29,0),0)</f>
        <v>0</v>
      </c>
      <c r="CE9" s="193">
        <f>IFERROR(VLOOKUP(B9,#REF!,28,0),0)</f>
        <v>0</v>
      </c>
      <c r="CF9" s="142"/>
      <c r="CG9" s="194"/>
      <c r="CH9" s="229">
        <v>0</v>
      </c>
      <c r="CI9" s="229">
        <v>0</v>
      </c>
      <c r="CJ9" s="226">
        <v>251690</v>
      </c>
      <c r="CL9" s="401">
        <v>0</v>
      </c>
      <c r="CM9" s="402">
        <v>0</v>
      </c>
      <c r="CN9" s="402">
        <v>0</v>
      </c>
      <c r="CO9" s="402">
        <v>0</v>
      </c>
      <c r="CP9" s="402">
        <v>0</v>
      </c>
      <c r="CQ9" s="402">
        <v>0</v>
      </c>
      <c r="CR9" s="402">
        <v>0</v>
      </c>
      <c r="CS9" s="402">
        <v>0</v>
      </c>
      <c r="CT9" s="206"/>
      <c r="CU9" s="195"/>
      <c r="CV9" s="2"/>
    </row>
    <row r="10" spans="1:100" ht="14" x14ac:dyDescent="0.25">
      <c r="A10" s="32">
        <v>3123401</v>
      </c>
      <c r="B10" s="184">
        <v>3401</v>
      </c>
      <c r="C10" s="179" t="s">
        <v>44</v>
      </c>
      <c r="D10" s="124">
        <v>619</v>
      </c>
      <c r="E10" s="124">
        <v>619</v>
      </c>
      <c r="F10" s="124">
        <v>0</v>
      </c>
      <c r="G10" s="124">
        <v>0</v>
      </c>
      <c r="H10" s="124">
        <v>0</v>
      </c>
      <c r="I10" s="124">
        <f t="shared" si="0"/>
        <v>171.00000000000023</v>
      </c>
      <c r="J10" s="124">
        <f t="shared" si="1"/>
        <v>0</v>
      </c>
      <c r="K10" s="124">
        <f t="shared" si="2"/>
        <v>176.00000000000003</v>
      </c>
      <c r="L10" s="124">
        <f t="shared" si="3"/>
        <v>0</v>
      </c>
      <c r="M10" s="124">
        <f t="shared" si="4"/>
        <v>201.00000000000017</v>
      </c>
      <c r="N10" s="124">
        <f t="shared" si="5"/>
        <v>220.99999999999994</v>
      </c>
      <c r="O10" s="124">
        <f t="shared" si="6"/>
        <v>13</v>
      </c>
      <c r="P10" s="124">
        <f t="shared" si="7"/>
        <v>5.0000000000000018</v>
      </c>
      <c r="Q10" s="124">
        <f t="shared" si="8"/>
        <v>0</v>
      </c>
      <c r="R10" s="124">
        <f t="shared" si="9"/>
        <v>0</v>
      </c>
      <c r="S10" s="124">
        <f t="shared" si="10"/>
        <v>0</v>
      </c>
      <c r="T10" s="124">
        <f t="shared" si="11"/>
        <v>0</v>
      </c>
      <c r="U10" s="124">
        <f t="shared" si="12"/>
        <v>0</v>
      </c>
      <c r="V10" s="124">
        <f t="shared" si="13"/>
        <v>0</v>
      </c>
      <c r="W10" s="124">
        <f t="shared" si="14"/>
        <v>0</v>
      </c>
      <c r="X10" s="124">
        <f t="shared" si="15"/>
        <v>0</v>
      </c>
      <c r="Y10" s="124">
        <f t="shared" si="16"/>
        <v>232.5654648956359</v>
      </c>
      <c r="Z10" s="124">
        <f t="shared" si="17"/>
        <v>0</v>
      </c>
      <c r="AA10" s="124">
        <f t="shared" si="18"/>
        <v>213.29701114228132</v>
      </c>
      <c r="AB10" s="124">
        <f t="shared" si="19"/>
        <v>0</v>
      </c>
      <c r="AC10" s="124">
        <f t="shared" si="20"/>
        <v>0</v>
      </c>
      <c r="AD10" s="124">
        <f t="shared" si="21"/>
        <v>0</v>
      </c>
      <c r="AE10" s="127">
        <v>2644597.0299999998</v>
      </c>
      <c r="AF10" s="63">
        <v>0</v>
      </c>
      <c r="AG10" s="130">
        <v>0</v>
      </c>
      <c r="AH10" s="130">
        <v>93140.280000000115</v>
      </c>
      <c r="AI10" s="130">
        <v>0</v>
      </c>
      <c r="AJ10" s="130">
        <v>205283.16160000002</v>
      </c>
      <c r="AK10" s="130">
        <v>0</v>
      </c>
      <c r="AL10" s="130">
        <v>51975.504600000051</v>
      </c>
      <c r="AM10" s="130">
        <v>69306.174599999984</v>
      </c>
      <c r="AN10" s="134">
        <v>6365.5825999999997</v>
      </c>
      <c r="AO10" s="64">
        <v>2695.8820000000005</v>
      </c>
      <c r="AP10" s="64">
        <v>0</v>
      </c>
      <c r="AQ10" s="64">
        <v>0</v>
      </c>
      <c r="AR10" s="64">
        <v>0</v>
      </c>
      <c r="AS10" s="64">
        <v>0</v>
      </c>
      <c r="AT10" s="64">
        <v>0</v>
      </c>
      <c r="AU10" s="64">
        <v>0</v>
      </c>
      <c r="AV10" s="64">
        <v>0</v>
      </c>
      <c r="AW10" s="64">
        <v>0</v>
      </c>
      <c r="AX10" s="64">
        <v>152262.93552182178</v>
      </c>
      <c r="AY10" s="64">
        <v>0</v>
      </c>
      <c r="AZ10" s="64">
        <v>275775.9716460784</v>
      </c>
      <c r="BA10" s="64">
        <v>0</v>
      </c>
      <c r="BB10" s="64">
        <v>0</v>
      </c>
      <c r="BC10" s="142">
        <v>0</v>
      </c>
      <c r="BD10" s="142">
        <v>0</v>
      </c>
      <c r="BE10" s="142">
        <v>159662.24</v>
      </c>
      <c r="BF10" s="142"/>
      <c r="BG10" s="142">
        <v>16832.150399999999</v>
      </c>
      <c r="BH10" s="142"/>
      <c r="BI10" s="134">
        <v>0</v>
      </c>
      <c r="BJ10" s="64"/>
      <c r="BK10" s="64"/>
      <c r="BL10" s="142">
        <v>2644597.0299999998</v>
      </c>
      <c r="BM10" s="142">
        <v>856805.49256790034</v>
      </c>
      <c r="BN10" s="142">
        <v>176494.38640000002</v>
      </c>
      <c r="BO10" s="142">
        <v>511374.24658931373</v>
      </c>
      <c r="BP10" s="142">
        <v>3677896.9089679001</v>
      </c>
      <c r="BQ10" s="142">
        <v>3677896.908967901</v>
      </c>
      <c r="BR10" s="142">
        <v>0</v>
      </c>
      <c r="BS10" s="142">
        <v>3501402.5225678999</v>
      </c>
      <c r="BT10" s="142">
        <v>5656.5468862163161</v>
      </c>
      <c r="BU10" s="142">
        <v>5508.1945308800005</v>
      </c>
      <c r="BV10" s="148">
        <v>2.6933027601807411E-2</v>
      </c>
      <c r="BW10" s="148">
        <v>0</v>
      </c>
      <c r="BX10" s="142">
        <v>0</v>
      </c>
      <c r="BY10" s="219">
        <v>3677896.9089679001</v>
      </c>
      <c r="BZ10" s="142">
        <v>792.32</v>
      </c>
      <c r="CA10" s="142">
        <v>6821.38</v>
      </c>
      <c r="CB10" s="188">
        <v>3670283.2089678999</v>
      </c>
      <c r="CC10" s="2"/>
      <c r="CD10" s="212">
        <f>IFERROR(VLOOKUP(B10,#REF!,29,0),0)</f>
        <v>0</v>
      </c>
      <c r="CE10" s="193">
        <f>IFERROR(VLOOKUP(B10,#REF!,28,0),0)</f>
        <v>0</v>
      </c>
      <c r="CF10" s="142"/>
      <c r="CG10" s="194"/>
      <c r="CH10" s="229">
        <v>0</v>
      </c>
      <c r="CI10" s="229">
        <v>0</v>
      </c>
      <c r="CJ10" s="226">
        <v>127600</v>
      </c>
      <c r="CL10" s="401">
        <v>232360</v>
      </c>
      <c r="CM10" s="402" t="s">
        <v>266</v>
      </c>
      <c r="CN10" s="402" t="s">
        <v>266</v>
      </c>
      <c r="CO10" s="402">
        <v>8900</v>
      </c>
      <c r="CP10" s="402">
        <v>33858</v>
      </c>
      <c r="CQ10" s="402">
        <v>98188.200000000012</v>
      </c>
      <c r="CR10" s="402">
        <v>89461.5</v>
      </c>
      <c r="CS10" s="402">
        <v>0</v>
      </c>
      <c r="CT10" s="206"/>
      <c r="CU10" s="195"/>
      <c r="CV10" s="2"/>
    </row>
    <row r="11" spans="1:100" ht="14" x14ac:dyDescent="0.25">
      <c r="A11" s="32">
        <v>3122003</v>
      </c>
      <c r="B11" s="184">
        <v>2003</v>
      </c>
      <c r="C11" s="179" t="s">
        <v>46</v>
      </c>
      <c r="D11" s="124">
        <v>198</v>
      </c>
      <c r="E11" s="124">
        <v>198</v>
      </c>
      <c r="F11" s="124">
        <v>0</v>
      </c>
      <c r="G11" s="124">
        <v>0</v>
      </c>
      <c r="H11" s="124">
        <v>0</v>
      </c>
      <c r="I11" s="124">
        <f t="shared" si="0"/>
        <v>34.000000000000057</v>
      </c>
      <c r="J11" s="124">
        <f t="shared" si="1"/>
        <v>0</v>
      </c>
      <c r="K11" s="124">
        <f t="shared" si="2"/>
        <v>35.000000000000043</v>
      </c>
      <c r="L11" s="124">
        <f t="shared" si="3"/>
        <v>0</v>
      </c>
      <c r="M11" s="124">
        <f t="shared" si="4"/>
        <v>71.72448979591843</v>
      </c>
      <c r="N11" s="124">
        <f t="shared" si="5"/>
        <v>4.0408163265306074</v>
      </c>
      <c r="O11" s="124">
        <f t="shared" si="6"/>
        <v>0</v>
      </c>
      <c r="P11" s="124">
        <f t="shared" si="7"/>
        <v>0</v>
      </c>
      <c r="Q11" s="124">
        <f t="shared" si="8"/>
        <v>0</v>
      </c>
      <c r="R11" s="124">
        <f t="shared" si="9"/>
        <v>0</v>
      </c>
      <c r="S11" s="124">
        <f t="shared" si="10"/>
        <v>0</v>
      </c>
      <c r="T11" s="124">
        <f t="shared" si="11"/>
        <v>0</v>
      </c>
      <c r="U11" s="124">
        <f t="shared" si="12"/>
        <v>0</v>
      </c>
      <c r="V11" s="124">
        <f t="shared" si="13"/>
        <v>0</v>
      </c>
      <c r="W11" s="124">
        <f t="shared" si="14"/>
        <v>0</v>
      </c>
      <c r="X11" s="124">
        <f t="shared" si="15"/>
        <v>0</v>
      </c>
      <c r="Y11" s="124">
        <f t="shared" si="16"/>
        <v>78.964285714285751</v>
      </c>
      <c r="Z11" s="124">
        <f t="shared" si="17"/>
        <v>0</v>
      </c>
      <c r="AA11" s="124">
        <f t="shared" si="18"/>
        <v>68.790641077546354</v>
      </c>
      <c r="AB11" s="124">
        <f t="shared" si="19"/>
        <v>0</v>
      </c>
      <c r="AC11" s="124">
        <f t="shared" si="20"/>
        <v>6.1199999999999983</v>
      </c>
      <c r="AD11" s="124">
        <f t="shared" si="21"/>
        <v>0</v>
      </c>
      <c r="AE11" s="127">
        <v>845929.26</v>
      </c>
      <c r="AF11" s="63">
        <v>0</v>
      </c>
      <c r="AG11" s="130">
        <v>0</v>
      </c>
      <c r="AH11" s="130">
        <v>18519.120000000028</v>
      </c>
      <c r="AI11" s="130">
        <v>0</v>
      </c>
      <c r="AJ11" s="130">
        <v>40823.356000000051</v>
      </c>
      <c r="AK11" s="130">
        <v>0</v>
      </c>
      <c r="AL11" s="130">
        <v>18546.848504081652</v>
      </c>
      <c r="AM11" s="130">
        <v>1267.2105061224474</v>
      </c>
      <c r="AN11" s="134">
        <v>0</v>
      </c>
      <c r="AO11" s="64">
        <v>0</v>
      </c>
      <c r="AP11" s="64">
        <v>0</v>
      </c>
      <c r="AQ11" s="64">
        <v>0</v>
      </c>
      <c r="AR11" s="64">
        <v>0</v>
      </c>
      <c r="AS11" s="64">
        <v>0</v>
      </c>
      <c r="AT11" s="64">
        <v>0</v>
      </c>
      <c r="AU11" s="64">
        <v>0</v>
      </c>
      <c r="AV11" s="64">
        <v>0</v>
      </c>
      <c r="AW11" s="64">
        <v>0</v>
      </c>
      <c r="AX11" s="64">
        <v>51698.707500000026</v>
      </c>
      <c r="AY11" s="64">
        <v>0</v>
      </c>
      <c r="AZ11" s="64">
        <v>88940.795661981232</v>
      </c>
      <c r="BA11" s="64">
        <v>0</v>
      </c>
      <c r="BB11" s="64">
        <v>6498.5219999999981</v>
      </c>
      <c r="BC11" s="142">
        <v>0</v>
      </c>
      <c r="BD11" s="142">
        <v>0</v>
      </c>
      <c r="BE11" s="142">
        <v>159662.24</v>
      </c>
      <c r="BF11" s="142"/>
      <c r="BG11" s="142">
        <v>28754.128000000001</v>
      </c>
      <c r="BH11" s="142"/>
      <c r="BI11" s="134">
        <v>0</v>
      </c>
      <c r="BJ11" s="64"/>
      <c r="BK11" s="64"/>
      <c r="BL11" s="142">
        <v>845929.26</v>
      </c>
      <c r="BM11" s="142">
        <v>226294.56017218542</v>
      </c>
      <c r="BN11" s="142">
        <v>188416.364</v>
      </c>
      <c r="BO11" s="142">
        <v>148421.87472885422</v>
      </c>
      <c r="BP11" s="142">
        <v>1260640.1841721856</v>
      </c>
      <c r="BQ11" s="142">
        <v>1260640.1841721856</v>
      </c>
      <c r="BR11" s="142">
        <v>0</v>
      </c>
      <c r="BS11" s="142">
        <v>1072223.8201721855</v>
      </c>
      <c r="BT11" s="142">
        <v>5415.2718190514424</v>
      </c>
      <c r="BU11" s="142">
        <v>5279.9516561576347</v>
      </c>
      <c r="BV11" s="148">
        <v>2.5629053390288786E-2</v>
      </c>
      <c r="BW11" s="148">
        <v>0</v>
      </c>
      <c r="BX11" s="142">
        <v>0</v>
      </c>
      <c r="BY11" s="219">
        <v>1260640.1841721856</v>
      </c>
      <c r="BZ11" s="142">
        <v>253.44</v>
      </c>
      <c r="CA11" s="142">
        <v>2181.96</v>
      </c>
      <c r="CB11" s="188">
        <v>1258204.7841721857</v>
      </c>
      <c r="CC11" s="2"/>
      <c r="CD11" s="212">
        <f>IFERROR(VLOOKUP(B11,#REF!,29,0),0)</f>
        <v>0</v>
      </c>
      <c r="CE11" s="193">
        <f>IFERROR(VLOOKUP(B11,#REF!,28,0),0)</f>
        <v>0</v>
      </c>
      <c r="CF11" s="142"/>
      <c r="CG11" s="194"/>
      <c r="CH11" s="229">
        <v>0</v>
      </c>
      <c r="CI11" s="229">
        <v>0</v>
      </c>
      <c r="CJ11" s="226">
        <v>22390</v>
      </c>
      <c r="CL11" s="401">
        <v>48840</v>
      </c>
      <c r="CM11" s="402" t="s">
        <v>266</v>
      </c>
      <c r="CN11" s="402">
        <v>7590</v>
      </c>
      <c r="CO11" s="402">
        <v>7362</v>
      </c>
      <c r="CP11" s="402">
        <v>12312</v>
      </c>
      <c r="CQ11" s="402">
        <v>35704.800000000003</v>
      </c>
      <c r="CR11" s="402">
        <v>30637.5</v>
      </c>
      <c r="CS11" s="402">
        <v>6396.25</v>
      </c>
      <c r="CT11" s="206"/>
      <c r="CU11" s="195"/>
      <c r="CV11" s="2"/>
    </row>
    <row r="12" spans="1:100" ht="14" hidden="1" x14ac:dyDescent="0.25">
      <c r="A12" s="32">
        <v>3122002</v>
      </c>
      <c r="B12" s="184">
        <v>2002</v>
      </c>
      <c r="C12" s="179" t="s">
        <v>47</v>
      </c>
      <c r="D12" s="124">
        <v>319</v>
      </c>
      <c r="E12" s="124">
        <v>319</v>
      </c>
      <c r="F12" s="124">
        <v>0</v>
      </c>
      <c r="G12" s="124">
        <v>0</v>
      </c>
      <c r="H12" s="124">
        <v>0</v>
      </c>
      <c r="I12" s="124">
        <f t="shared" si="0"/>
        <v>108.00000000000016</v>
      </c>
      <c r="J12" s="124">
        <f t="shared" si="1"/>
        <v>0</v>
      </c>
      <c r="K12" s="124">
        <f t="shared" si="2"/>
        <v>116.99999999999996</v>
      </c>
      <c r="L12" s="124">
        <f t="shared" si="3"/>
        <v>0</v>
      </c>
      <c r="M12" s="124">
        <f t="shared" si="4"/>
        <v>93.000000000000057</v>
      </c>
      <c r="N12" s="124">
        <f t="shared" si="5"/>
        <v>138.99999999999986</v>
      </c>
      <c r="O12" s="124">
        <f t="shared" si="6"/>
        <v>7</v>
      </c>
      <c r="P12" s="124">
        <f t="shared" si="7"/>
        <v>0.99999999999999878</v>
      </c>
      <c r="Q12" s="124">
        <f t="shared" si="8"/>
        <v>12.000000000000009</v>
      </c>
      <c r="R12" s="124">
        <f t="shared" si="9"/>
        <v>0</v>
      </c>
      <c r="S12" s="124">
        <f t="shared" si="10"/>
        <v>0</v>
      </c>
      <c r="T12" s="124">
        <f t="shared" si="11"/>
        <v>0</v>
      </c>
      <c r="U12" s="124">
        <f t="shared" si="12"/>
        <v>0</v>
      </c>
      <c r="V12" s="124">
        <f t="shared" si="13"/>
        <v>0</v>
      </c>
      <c r="W12" s="124">
        <f t="shared" si="14"/>
        <v>0</v>
      </c>
      <c r="X12" s="124">
        <f t="shared" si="15"/>
        <v>0</v>
      </c>
      <c r="Y12" s="124">
        <f t="shared" si="16"/>
        <v>144.36496350364951</v>
      </c>
      <c r="Z12" s="124">
        <f t="shared" si="17"/>
        <v>0</v>
      </c>
      <c r="AA12" s="124">
        <f t="shared" si="18"/>
        <v>141.85866249136316</v>
      </c>
      <c r="AB12" s="124">
        <f t="shared" si="19"/>
        <v>0</v>
      </c>
      <c r="AC12" s="124">
        <f t="shared" si="20"/>
        <v>20.860000000000138</v>
      </c>
      <c r="AD12" s="124">
        <f t="shared" si="21"/>
        <v>0</v>
      </c>
      <c r="AE12" s="127">
        <v>1362886.03</v>
      </c>
      <c r="AF12" s="63">
        <v>0</v>
      </c>
      <c r="AG12" s="130">
        <v>0</v>
      </c>
      <c r="AH12" s="130">
        <v>58825.440000000082</v>
      </c>
      <c r="AI12" s="130">
        <v>0</v>
      </c>
      <c r="AJ12" s="130">
        <v>136466.64719999995</v>
      </c>
      <c r="AK12" s="130">
        <v>0</v>
      </c>
      <c r="AL12" s="130">
        <v>24048.367800000018</v>
      </c>
      <c r="AM12" s="130">
        <v>43590.761399999952</v>
      </c>
      <c r="AN12" s="134">
        <v>3427.6214</v>
      </c>
      <c r="AO12" s="64">
        <v>539.17639999999926</v>
      </c>
      <c r="AP12" s="64">
        <v>6866.2464000000045</v>
      </c>
      <c r="AQ12" s="64">
        <v>0</v>
      </c>
      <c r="AR12" s="64">
        <v>0</v>
      </c>
      <c r="AS12" s="64">
        <v>0</v>
      </c>
      <c r="AT12" s="64">
        <v>0</v>
      </c>
      <c r="AU12" s="64">
        <v>0</v>
      </c>
      <c r="AV12" s="64">
        <v>0</v>
      </c>
      <c r="AW12" s="64">
        <v>0</v>
      </c>
      <c r="AX12" s="64">
        <v>94517.185255474367</v>
      </c>
      <c r="AY12" s="64">
        <v>0</v>
      </c>
      <c r="AZ12" s="64">
        <v>183411.90190833327</v>
      </c>
      <c r="BA12" s="64">
        <v>0</v>
      </c>
      <c r="BB12" s="64">
        <v>22150.191000000144</v>
      </c>
      <c r="BC12" s="142">
        <v>0</v>
      </c>
      <c r="BD12" s="142">
        <v>0</v>
      </c>
      <c r="BE12" s="142">
        <v>159662.24</v>
      </c>
      <c r="BF12" s="142"/>
      <c r="BG12" s="142">
        <v>15614.56</v>
      </c>
      <c r="BH12" s="142"/>
      <c r="BI12" s="134">
        <v>0</v>
      </c>
      <c r="BJ12" s="64"/>
      <c r="BK12" s="64"/>
      <c r="BL12" s="142">
        <v>1362886.03</v>
      </c>
      <c r="BM12" s="142">
        <v>573843.53876380774</v>
      </c>
      <c r="BN12" s="142">
        <v>175276.796</v>
      </c>
      <c r="BO12" s="142">
        <v>328088.09125583328</v>
      </c>
      <c r="BP12" s="142">
        <v>2112006.364763808</v>
      </c>
      <c r="BQ12" s="142">
        <v>2112006.364763808</v>
      </c>
      <c r="BR12" s="142">
        <v>0</v>
      </c>
      <c r="BS12" s="142">
        <v>1936729.5687638079</v>
      </c>
      <c r="BT12" s="142">
        <v>6071.2525666577048</v>
      </c>
      <c r="BU12" s="142">
        <v>5708.641483591332</v>
      </c>
      <c r="BV12" s="148">
        <v>6.3519680489420513E-2</v>
      </c>
      <c r="BW12" s="148">
        <v>0</v>
      </c>
      <c r="BX12" s="142">
        <v>0</v>
      </c>
      <c r="BY12" s="219">
        <v>2112006.364763808</v>
      </c>
      <c r="BZ12" s="142">
        <v>0</v>
      </c>
      <c r="CA12" s="142">
        <v>0</v>
      </c>
      <c r="CB12" s="188">
        <v>2112006.364763808</v>
      </c>
      <c r="CC12" s="2"/>
      <c r="CD12" s="212">
        <f>IFERROR(VLOOKUP(B12,#REF!,29,0),0)</f>
        <v>0</v>
      </c>
      <c r="CE12" s="193">
        <f>IFERROR(VLOOKUP(B12,#REF!,28,0),0)</f>
        <v>0</v>
      </c>
      <c r="CF12" s="142"/>
      <c r="CG12" s="194"/>
      <c r="CH12" s="229">
        <v>0</v>
      </c>
      <c r="CI12" s="229">
        <v>0</v>
      </c>
      <c r="CJ12" s="226">
        <v>119551</v>
      </c>
      <c r="CL12" s="401">
        <v>0</v>
      </c>
      <c r="CM12" s="402">
        <v>0</v>
      </c>
      <c r="CN12" s="402">
        <v>0</v>
      </c>
      <c r="CO12" s="402">
        <v>0</v>
      </c>
      <c r="CP12" s="402">
        <v>14492.25</v>
      </c>
      <c r="CQ12" s="402">
        <v>42027.524999999994</v>
      </c>
      <c r="CR12" s="402">
        <v>0</v>
      </c>
      <c r="CS12" s="402">
        <v>0</v>
      </c>
      <c r="CT12" s="206"/>
      <c r="CU12" s="195"/>
      <c r="CV12" s="2"/>
    </row>
    <row r="13" spans="1:100" ht="14" hidden="1" x14ac:dyDescent="0.25">
      <c r="A13" s="32">
        <v>3125206</v>
      </c>
      <c r="B13" s="184">
        <v>5206</v>
      </c>
      <c r="C13" s="179" t="s">
        <v>267</v>
      </c>
      <c r="D13" s="124">
        <v>403</v>
      </c>
      <c r="E13" s="124">
        <v>403</v>
      </c>
      <c r="F13" s="124">
        <v>0</v>
      </c>
      <c r="G13" s="124">
        <v>0</v>
      </c>
      <c r="H13" s="124">
        <v>0</v>
      </c>
      <c r="I13" s="124">
        <f t="shared" si="0"/>
        <v>102.00000000000011</v>
      </c>
      <c r="J13" s="124">
        <f t="shared" si="1"/>
        <v>0</v>
      </c>
      <c r="K13" s="124">
        <f t="shared" si="2"/>
        <v>115.0000000000001</v>
      </c>
      <c r="L13" s="124">
        <f t="shared" si="3"/>
        <v>0</v>
      </c>
      <c r="M13" s="124">
        <f t="shared" si="4"/>
        <v>128.00000000000009</v>
      </c>
      <c r="N13" s="124">
        <f t="shared" si="5"/>
        <v>92</v>
      </c>
      <c r="O13" s="124">
        <f t="shared" si="6"/>
        <v>16.999999999999993</v>
      </c>
      <c r="P13" s="124">
        <f t="shared" si="7"/>
        <v>1.9999999999999987</v>
      </c>
      <c r="Q13" s="124">
        <f t="shared" si="8"/>
        <v>8.9999999999999822</v>
      </c>
      <c r="R13" s="124">
        <f t="shared" si="9"/>
        <v>0</v>
      </c>
      <c r="S13" s="124">
        <f t="shared" si="10"/>
        <v>0</v>
      </c>
      <c r="T13" s="124">
        <f t="shared" si="11"/>
        <v>0</v>
      </c>
      <c r="U13" s="124">
        <f t="shared" si="12"/>
        <v>0</v>
      </c>
      <c r="V13" s="124">
        <f t="shared" si="13"/>
        <v>0</v>
      </c>
      <c r="W13" s="124">
        <f t="shared" si="14"/>
        <v>0</v>
      </c>
      <c r="X13" s="124">
        <f t="shared" si="15"/>
        <v>0</v>
      </c>
      <c r="Y13" s="124">
        <f t="shared" si="16"/>
        <v>125.71720116618064</v>
      </c>
      <c r="Z13" s="124">
        <f t="shared" si="17"/>
        <v>0</v>
      </c>
      <c r="AA13" s="124">
        <f t="shared" si="18"/>
        <v>178.54897528024841</v>
      </c>
      <c r="AB13" s="124">
        <f t="shared" si="19"/>
        <v>0</v>
      </c>
      <c r="AC13" s="124">
        <f t="shared" si="20"/>
        <v>14.917014925373126</v>
      </c>
      <c r="AD13" s="124">
        <f t="shared" si="21"/>
        <v>0</v>
      </c>
      <c r="AE13" s="127">
        <v>1721765.1099999999</v>
      </c>
      <c r="AF13" s="63">
        <v>0</v>
      </c>
      <c r="AG13" s="130">
        <v>0</v>
      </c>
      <c r="AH13" s="130">
        <v>55557.360000000059</v>
      </c>
      <c r="AI13" s="130">
        <v>0</v>
      </c>
      <c r="AJ13" s="130">
        <v>134133.88400000011</v>
      </c>
      <c r="AK13" s="130">
        <v>0</v>
      </c>
      <c r="AL13" s="130">
        <v>33098.828800000025</v>
      </c>
      <c r="AM13" s="130">
        <v>28851.439200000001</v>
      </c>
      <c r="AN13" s="134">
        <v>8324.2233999999953</v>
      </c>
      <c r="AO13" s="64">
        <v>1078.3527999999992</v>
      </c>
      <c r="AP13" s="64">
        <v>5149.6847999999891</v>
      </c>
      <c r="AQ13" s="64">
        <v>0</v>
      </c>
      <c r="AR13" s="64">
        <v>0</v>
      </c>
      <c r="AS13" s="64">
        <v>0</v>
      </c>
      <c r="AT13" s="64">
        <v>0</v>
      </c>
      <c r="AU13" s="64">
        <v>0</v>
      </c>
      <c r="AV13" s="64">
        <v>0</v>
      </c>
      <c r="AW13" s="64">
        <v>0</v>
      </c>
      <c r="AX13" s="64">
        <v>82308.30877551013</v>
      </c>
      <c r="AY13" s="64">
        <v>0</v>
      </c>
      <c r="AZ13" s="64">
        <v>230849.5411193388</v>
      </c>
      <c r="BA13" s="64">
        <v>0</v>
      </c>
      <c r="BB13" s="64">
        <v>15839.632298507453</v>
      </c>
      <c r="BC13" s="142">
        <v>0</v>
      </c>
      <c r="BD13" s="142">
        <v>0</v>
      </c>
      <c r="BE13" s="142">
        <v>159662.24</v>
      </c>
      <c r="BF13" s="142"/>
      <c r="BG13" s="142">
        <v>14483.04</v>
      </c>
      <c r="BH13" s="142"/>
      <c r="BI13" s="134">
        <v>0</v>
      </c>
      <c r="BJ13" s="64"/>
      <c r="BK13" s="64"/>
      <c r="BL13" s="142">
        <v>1721765.1099999999</v>
      </c>
      <c r="BM13" s="142">
        <v>595191.25519335654</v>
      </c>
      <c r="BN13" s="142">
        <v>174145.27600000001</v>
      </c>
      <c r="BO13" s="142">
        <v>382527.13500790985</v>
      </c>
      <c r="BP13" s="142">
        <v>2491101.6411933564</v>
      </c>
      <c r="BQ13" s="142">
        <v>2491101.6411933564</v>
      </c>
      <c r="BR13" s="142">
        <v>0</v>
      </c>
      <c r="BS13" s="142">
        <v>2316956.3651933563</v>
      </c>
      <c r="BT13" s="142">
        <v>5749.2713776510082</v>
      </c>
      <c r="BU13" s="142">
        <v>5600.4012182519273</v>
      </c>
      <c r="BV13" s="148">
        <v>2.6582052534719687E-2</v>
      </c>
      <c r="BW13" s="148">
        <v>0</v>
      </c>
      <c r="BX13" s="142">
        <v>0</v>
      </c>
      <c r="BY13" s="219">
        <v>2491101.6411933564</v>
      </c>
      <c r="BZ13" s="142">
        <v>0</v>
      </c>
      <c r="CA13" s="142">
        <v>0</v>
      </c>
      <c r="CB13" s="188">
        <v>2491101.6411933564</v>
      </c>
      <c r="CC13" s="2"/>
      <c r="CD13" s="212">
        <f>IFERROR(VLOOKUP(B13,#REF!,29,0),0)</f>
        <v>0</v>
      </c>
      <c r="CE13" s="193">
        <f>IFERROR(VLOOKUP(B13,#REF!,28,0),0)</f>
        <v>0</v>
      </c>
      <c r="CF13" s="142"/>
      <c r="CG13" s="194"/>
      <c r="CH13" s="229">
        <v>96000</v>
      </c>
      <c r="CI13" s="229">
        <v>0</v>
      </c>
      <c r="CJ13" s="226">
        <v>146788</v>
      </c>
      <c r="CL13" s="401">
        <v>0</v>
      </c>
      <c r="CM13" s="402">
        <v>0</v>
      </c>
      <c r="CN13" s="402">
        <v>0</v>
      </c>
      <c r="CO13" s="402">
        <v>0</v>
      </c>
      <c r="CP13" s="402">
        <v>20776.5</v>
      </c>
      <c r="CQ13" s="402">
        <v>60251.850000000006</v>
      </c>
      <c r="CR13" s="402">
        <v>0</v>
      </c>
      <c r="CS13" s="402">
        <v>0</v>
      </c>
      <c r="CT13" s="206"/>
      <c r="CU13" s="195"/>
      <c r="CV13" s="2"/>
    </row>
    <row r="14" spans="1:100" ht="14" x14ac:dyDescent="0.25">
      <c r="A14" s="32">
        <v>3122084</v>
      </c>
      <c r="B14" s="184">
        <v>2084</v>
      </c>
      <c r="C14" s="179" t="s">
        <v>268</v>
      </c>
      <c r="D14" s="124">
        <v>592</v>
      </c>
      <c r="E14" s="124">
        <v>592</v>
      </c>
      <c r="F14" s="124">
        <v>0</v>
      </c>
      <c r="G14" s="124">
        <v>0</v>
      </c>
      <c r="H14" s="124">
        <v>0</v>
      </c>
      <c r="I14" s="124">
        <f t="shared" si="0"/>
        <v>197.99999999999972</v>
      </c>
      <c r="J14" s="124">
        <f t="shared" si="1"/>
        <v>0</v>
      </c>
      <c r="K14" s="124">
        <f t="shared" si="2"/>
        <v>201.99999999999989</v>
      </c>
      <c r="L14" s="124">
        <f t="shared" si="3"/>
        <v>0</v>
      </c>
      <c r="M14" s="124">
        <f t="shared" si="4"/>
        <v>144.99999999999974</v>
      </c>
      <c r="N14" s="124">
        <f t="shared" si="5"/>
        <v>295.00000000000011</v>
      </c>
      <c r="O14" s="124">
        <f t="shared" si="6"/>
        <v>14.00000000000003</v>
      </c>
      <c r="P14" s="124">
        <f t="shared" si="7"/>
        <v>14.00000000000003</v>
      </c>
      <c r="Q14" s="124">
        <f t="shared" si="8"/>
        <v>2.0000000000000009</v>
      </c>
      <c r="R14" s="124">
        <f t="shared" si="9"/>
        <v>0</v>
      </c>
      <c r="S14" s="124">
        <f t="shared" si="10"/>
        <v>0</v>
      </c>
      <c r="T14" s="124">
        <f t="shared" si="11"/>
        <v>0</v>
      </c>
      <c r="U14" s="124">
        <f t="shared" si="12"/>
        <v>0</v>
      </c>
      <c r="V14" s="124">
        <f t="shared" si="13"/>
        <v>0</v>
      </c>
      <c r="W14" s="124">
        <f t="shared" si="14"/>
        <v>0</v>
      </c>
      <c r="X14" s="124">
        <f t="shared" si="15"/>
        <v>0</v>
      </c>
      <c r="Y14" s="124">
        <f t="shared" si="16"/>
        <v>185.36203522504874</v>
      </c>
      <c r="Z14" s="124">
        <f t="shared" si="17"/>
        <v>0</v>
      </c>
      <c r="AA14" s="124">
        <f t="shared" si="18"/>
        <v>240.62072485907765</v>
      </c>
      <c r="AB14" s="124">
        <f t="shared" si="19"/>
        <v>0</v>
      </c>
      <c r="AC14" s="124">
        <f t="shared" si="20"/>
        <v>29.479999999999823</v>
      </c>
      <c r="AD14" s="124">
        <f t="shared" si="21"/>
        <v>0</v>
      </c>
      <c r="AE14" s="127">
        <v>2529243.04</v>
      </c>
      <c r="AF14" s="63">
        <v>0</v>
      </c>
      <c r="AG14" s="130">
        <v>0</v>
      </c>
      <c r="AH14" s="130">
        <v>107846.63999999984</v>
      </c>
      <c r="AI14" s="130">
        <v>0</v>
      </c>
      <c r="AJ14" s="130">
        <v>235609.08319999985</v>
      </c>
      <c r="AK14" s="130">
        <v>0</v>
      </c>
      <c r="AL14" s="130">
        <v>37494.766999999934</v>
      </c>
      <c r="AM14" s="130">
        <v>92512.767000000036</v>
      </c>
      <c r="AN14" s="134">
        <v>6855.2428000000145</v>
      </c>
      <c r="AO14" s="64">
        <v>7548.4696000000158</v>
      </c>
      <c r="AP14" s="64">
        <v>1144.3744000000004</v>
      </c>
      <c r="AQ14" s="64">
        <v>0</v>
      </c>
      <c r="AR14" s="64">
        <v>0</v>
      </c>
      <c r="AS14" s="64">
        <v>0</v>
      </c>
      <c r="AT14" s="64">
        <v>0</v>
      </c>
      <c r="AU14" s="64">
        <v>0</v>
      </c>
      <c r="AV14" s="64">
        <v>0</v>
      </c>
      <c r="AW14" s="64">
        <v>0</v>
      </c>
      <c r="AX14" s="64">
        <v>121358.37808219167</v>
      </c>
      <c r="AY14" s="64">
        <v>0</v>
      </c>
      <c r="AZ14" s="64">
        <v>311103.3475847987</v>
      </c>
      <c r="BA14" s="64">
        <v>0</v>
      </c>
      <c r="BB14" s="64">
        <v>31303.337999999811</v>
      </c>
      <c r="BC14" s="142">
        <v>0</v>
      </c>
      <c r="BD14" s="142">
        <v>0</v>
      </c>
      <c r="BE14" s="142">
        <v>159662.24</v>
      </c>
      <c r="BF14" s="142"/>
      <c r="BG14" s="142">
        <v>104253.344</v>
      </c>
      <c r="BH14" s="142"/>
      <c r="BI14" s="134">
        <v>0</v>
      </c>
      <c r="BJ14" s="64"/>
      <c r="BK14" s="64"/>
      <c r="BL14" s="142">
        <v>2529243.04</v>
      </c>
      <c r="BM14" s="142">
        <v>952776.40766698972</v>
      </c>
      <c r="BN14" s="142">
        <v>263915.58</v>
      </c>
      <c r="BO14" s="142">
        <v>566556.11654171057</v>
      </c>
      <c r="BP14" s="142">
        <v>3745935.0276669897</v>
      </c>
      <c r="BQ14" s="142">
        <v>3745935.0276669902</v>
      </c>
      <c r="BR14" s="142">
        <v>0</v>
      </c>
      <c r="BS14" s="142">
        <v>3482019.4476669896</v>
      </c>
      <c r="BT14" s="142">
        <v>5881.789607545591</v>
      </c>
      <c r="BU14" s="142">
        <v>5736.628508823529</v>
      </c>
      <c r="BV14" s="148">
        <v>2.5304252924655862E-2</v>
      </c>
      <c r="BW14" s="148">
        <v>0</v>
      </c>
      <c r="BX14" s="142">
        <v>0</v>
      </c>
      <c r="BY14" s="219">
        <v>3745935.0276669897</v>
      </c>
      <c r="BZ14" s="142">
        <v>757.76</v>
      </c>
      <c r="CA14" s="142">
        <v>6523.84</v>
      </c>
      <c r="CB14" s="188">
        <v>3738653.4276669896</v>
      </c>
      <c r="CC14" s="2"/>
      <c r="CD14" s="212">
        <f>IFERROR(VLOOKUP(B14,#REF!,29,0),0)</f>
        <v>0</v>
      </c>
      <c r="CE14" s="193">
        <f>IFERROR(VLOOKUP(B14,#REF!,28,0),0)</f>
        <v>0</v>
      </c>
      <c r="CF14" s="142"/>
      <c r="CG14" s="194"/>
      <c r="CH14" s="229">
        <v>60000</v>
      </c>
      <c r="CI14" s="229">
        <v>0</v>
      </c>
      <c r="CJ14" s="226">
        <v>300965</v>
      </c>
      <c r="CL14" s="401">
        <v>273800</v>
      </c>
      <c r="CM14" s="402" t="s">
        <v>266</v>
      </c>
      <c r="CN14" s="402">
        <v>15180</v>
      </c>
      <c r="CO14" s="402">
        <v>8800</v>
      </c>
      <c r="CP14" s="402">
        <v>28215</v>
      </c>
      <c r="CQ14" s="402">
        <v>81823.5</v>
      </c>
      <c r="CR14" s="402">
        <v>79657.5</v>
      </c>
      <c r="CS14" s="402">
        <v>11274.25</v>
      </c>
      <c r="CT14" s="206"/>
      <c r="CU14" s="195"/>
      <c r="CV14" s="2"/>
    </row>
    <row r="15" spans="1:100" ht="14" x14ac:dyDescent="0.25">
      <c r="A15" s="32">
        <v>3122010</v>
      </c>
      <c r="B15" s="184">
        <v>2010</v>
      </c>
      <c r="C15" s="180" t="s">
        <v>55</v>
      </c>
      <c r="D15" s="124">
        <v>554</v>
      </c>
      <c r="E15" s="124">
        <v>554</v>
      </c>
      <c r="F15" s="124">
        <v>0</v>
      </c>
      <c r="G15" s="124">
        <v>0</v>
      </c>
      <c r="H15" s="124">
        <v>0</v>
      </c>
      <c r="I15" s="124">
        <f t="shared" si="0"/>
        <v>178.0000000000002</v>
      </c>
      <c r="J15" s="124">
        <f t="shared" si="1"/>
        <v>0</v>
      </c>
      <c r="K15" s="124">
        <f t="shared" si="2"/>
        <v>178.99999999999986</v>
      </c>
      <c r="L15" s="124">
        <f t="shared" si="3"/>
        <v>0</v>
      </c>
      <c r="M15" s="124">
        <f t="shared" si="4"/>
        <v>190.34358047016295</v>
      </c>
      <c r="N15" s="124">
        <f t="shared" si="5"/>
        <v>184.33273056057877</v>
      </c>
      <c r="O15" s="124">
        <f t="shared" si="6"/>
        <v>67.121157323688834</v>
      </c>
      <c r="P15" s="124">
        <f t="shared" si="7"/>
        <v>9.0162748643761308</v>
      </c>
      <c r="Q15" s="124">
        <f t="shared" si="8"/>
        <v>2.0036166365280272</v>
      </c>
      <c r="R15" s="124">
        <f t="shared" si="9"/>
        <v>0</v>
      </c>
      <c r="S15" s="124">
        <f t="shared" si="10"/>
        <v>0</v>
      </c>
      <c r="T15" s="124">
        <f t="shared" si="11"/>
        <v>0</v>
      </c>
      <c r="U15" s="124">
        <f t="shared" si="12"/>
        <v>0</v>
      </c>
      <c r="V15" s="124">
        <f t="shared" si="13"/>
        <v>0</v>
      </c>
      <c r="W15" s="124">
        <f t="shared" si="14"/>
        <v>0</v>
      </c>
      <c r="X15" s="124">
        <f t="shared" si="15"/>
        <v>0</v>
      </c>
      <c r="Y15" s="124">
        <f t="shared" si="16"/>
        <v>120.4837398373984</v>
      </c>
      <c r="Z15" s="124">
        <f t="shared" si="17"/>
        <v>0</v>
      </c>
      <c r="AA15" s="124">
        <f t="shared" si="18"/>
        <v>159.70169596531821</v>
      </c>
      <c r="AB15" s="124">
        <f t="shared" si="19"/>
        <v>0</v>
      </c>
      <c r="AC15" s="124">
        <f t="shared" si="20"/>
        <v>16.75999999999998</v>
      </c>
      <c r="AD15" s="124">
        <f t="shared" si="21"/>
        <v>0</v>
      </c>
      <c r="AE15" s="127">
        <v>2366892.98</v>
      </c>
      <c r="AF15" s="63">
        <v>0</v>
      </c>
      <c r="AG15" s="130">
        <v>0</v>
      </c>
      <c r="AH15" s="130">
        <v>96953.040000000095</v>
      </c>
      <c r="AI15" s="130">
        <v>0</v>
      </c>
      <c r="AJ15" s="130">
        <v>208782.30639999983</v>
      </c>
      <c r="AK15" s="130">
        <v>0</v>
      </c>
      <c r="AL15" s="130">
        <v>49219.918618444899</v>
      </c>
      <c r="AM15" s="130">
        <v>57807.223568896959</v>
      </c>
      <c r="AN15" s="134">
        <v>32866.55931934894</v>
      </c>
      <c r="AO15" s="64">
        <v>4861.3626227848099</v>
      </c>
      <c r="AP15" s="64">
        <v>1146.4437931283896</v>
      </c>
      <c r="AQ15" s="64">
        <v>0</v>
      </c>
      <c r="AR15" s="64">
        <v>0</v>
      </c>
      <c r="AS15" s="64">
        <v>0</v>
      </c>
      <c r="AT15" s="64">
        <v>0</v>
      </c>
      <c r="AU15" s="64">
        <v>0</v>
      </c>
      <c r="AV15" s="64">
        <v>0</v>
      </c>
      <c r="AW15" s="64">
        <v>0</v>
      </c>
      <c r="AX15" s="64">
        <v>78881.909308943112</v>
      </c>
      <c r="AY15" s="64">
        <v>0</v>
      </c>
      <c r="AZ15" s="64">
        <v>206481.51674747924</v>
      </c>
      <c r="BA15" s="64">
        <v>0</v>
      </c>
      <c r="BB15" s="64">
        <v>17796.605999999978</v>
      </c>
      <c r="BC15" s="142">
        <v>0</v>
      </c>
      <c r="BD15" s="142">
        <v>0</v>
      </c>
      <c r="BE15" s="142">
        <v>159662.24</v>
      </c>
      <c r="BF15" s="142"/>
      <c r="BG15" s="142">
        <v>71320.183999999994</v>
      </c>
      <c r="BH15" s="142"/>
      <c r="BI15" s="134">
        <v>0</v>
      </c>
      <c r="BJ15" s="64"/>
      <c r="BK15" s="64"/>
      <c r="BL15" s="142">
        <v>2366892.98</v>
      </c>
      <c r="BM15" s="142">
        <v>754796.88637902623</v>
      </c>
      <c r="BN15" s="142">
        <v>230982.41999999998</v>
      </c>
      <c r="BO15" s="142">
        <v>448019.38127980224</v>
      </c>
      <c r="BP15" s="142">
        <v>3352672.2863790262</v>
      </c>
      <c r="BQ15" s="142">
        <v>3352672.2863790258</v>
      </c>
      <c r="BR15" s="142">
        <v>0</v>
      </c>
      <c r="BS15" s="142">
        <v>3121689.8663790263</v>
      </c>
      <c r="BT15" s="142">
        <v>5634.8192533917445</v>
      </c>
      <c r="BU15" s="142">
        <v>5553.2502274576264</v>
      </c>
      <c r="BV15" s="148">
        <v>1.4688519802476442E-2</v>
      </c>
      <c r="BW15" s="148">
        <v>0</v>
      </c>
      <c r="BX15" s="142">
        <v>0</v>
      </c>
      <c r="BY15" s="219">
        <v>3352672.2863790262</v>
      </c>
      <c r="BZ15" s="142">
        <v>709.12</v>
      </c>
      <c r="CA15" s="142">
        <v>6105.08</v>
      </c>
      <c r="CB15" s="188">
        <v>3345858.0863790261</v>
      </c>
      <c r="CC15" s="2"/>
      <c r="CD15" s="212">
        <f>IFERROR(VLOOKUP(B15,#REF!,29,0),0)</f>
        <v>0</v>
      </c>
      <c r="CE15" s="193">
        <f>IFERROR(VLOOKUP(B15,#REF!,28,0),0)</f>
        <v>0</v>
      </c>
      <c r="CF15" s="142"/>
      <c r="CG15" s="194"/>
      <c r="CH15" s="229">
        <v>0</v>
      </c>
      <c r="CI15" s="229">
        <v>0</v>
      </c>
      <c r="CJ15" s="226">
        <v>135764</v>
      </c>
      <c r="CL15" s="401">
        <v>269360</v>
      </c>
      <c r="CM15" s="402">
        <v>335</v>
      </c>
      <c r="CN15" s="402">
        <v>10120</v>
      </c>
      <c r="CO15" s="402">
        <v>8758</v>
      </c>
      <c r="CP15" s="402">
        <v>27189</v>
      </c>
      <c r="CQ15" s="402">
        <v>78848.100000000006</v>
      </c>
      <c r="CR15" s="402">
        <v>91422.3</v>
      </c>
      <c r="CS15" s="402">
        <v>11114.5</v>
      </c>
      <c r="CT15" s="206"/>
      <c r="CU15" s="195"/>
      <c r="CV15" s="2"/>
    </row>
    <row r="16" spans="1:100" ht="14" x14ac:dyDescent="0.25">
      <c r="A16" s="32">
        <v>3122012</v>
      </c>
      <c r="B16" s="184">
        <v>2012</v>
      </c>
      <c r="C16" s="179" t="s">
        <v>57</v>
      </c>
      <c r="D16" s="124">
        <v>171</v>
      </c>
      <c r="E16" s="124">
        <v>171</v>
      </c>
      <c r="F16" s="124">
        <v>0</v>
      </c>
      <c r="G16" s="124">
        <v>0</v>
      </c>
      <c r="H16" s="124">
        <v>0</v>
      </c>
      <c r="I16" s="124">
        <f t="shared" si="0"/>
        <v>54.000000000000085</v>
      </c>
      <c r="J16" s="124">
        <f t="shared" si="1"/>
        <v>0</v>
      </c>
      <c r="K16" s="124">
        <f t="shared" si="2"/>
        <v>55.000000000000036</v>
      </c>
      <c r="L16" s="124">
        <f t="shared" si="3"/>
        <v>0</v>
      </c>
      <c r="M16" s="124">
        <f t="shared" si="4"/>
        <v>64.999999999999915</v>
      </c>
      <c r="N16" s="124">
        <f t="shared" si="5"/>
        <v>2.9999999999999987</v>
      </c>
      <c r="O16" s="124">
        <f t="shared" si="6"/>
        <v>1.9999999999999933</v>
      </c>
      <c r="P16" s="124">
        <f t="shared" si="7"/>
        <v>0</v>
      </c>
      <c r="Q16" s="124">
        <f t="shared" si="8"/>
        <v>0</v>
      </c>
      <c r="R16" s="124">
        <f t="shared" si="9"/>
        <v>0</v>
      </c>
      <c r="S16" s="124">
        <f t="shared" si="10"/>
        <v>0</v>
      </c>
      <c r="T16" s="124">
        <f t="shared" si="11"/>
        <v>0</v>
      </c>
      <c r="U16" s="124">
        <f t="shared" si="12"/>
        <v>0</v>
      </c>
      <c r="V16" s="124">
        <f t="shared" si="13"/>
        <v>0</v>
      </c>
      <c r="W16" s="124">
        <f t="shared" si="14"/>
        <v>0</v>
      </c>
      <c r="X16" s="124">
        <f t="shared" si="15"/>
        <v>0</v>
      </c>
      <c r="Y16" s="124">
        <f t="shared" si="16"/>
        <v>43.12173913043474</v>
      </c>
      <c r="Z16" s="124">
        <f t="shared" si="17"/>
        <v>0</v>
      </c>
      <c r="AA16" s="124">
        <f t="shared" si="18"/>
        <v>63.162308719169936</v>
      </c>
      <c r="AB16" s="124">
        <f t="shared" si="19"/>
        <v>0</v>
      </c>
      <c r="AC16" s="124">
        <f t="shared" si="20"/>
        <v>0</v>
      </c>
      <c r="AD16" s="124">
        <f t="shared" si="21"/>
        <v>0</v>
      </c>
      <c r="AE16" s="127">
        <v>730575.27</v>
      </c>
      <c r="AF16" s="63">
        <v>0</v>
      </c>
      <c r="AG16" s="130">
        <v>0</v>
      </c>
      <c r="AH16" s="130">
        <v>29412.720000000045</v>
      </c>
      <c r="AI16" s="130">
        <v>0</v>
      </c>
      <c r="AJ16" s="130">
        <v>64150.988000000041</v>
      </c>
      <c r="AK16" s="130">
        <v>0</v>
      </c>
      <c r="AL16" s="130">
        <v>16807.998999999978</v>
      </c>
      <c r="AM16" s="130">
        <v>940.80779999999959</v>
      </c>
      <c r="AN16" s="134">
        <v>979.32039999999665</v>
      </c>
      <c r="AO16" s="64">
        <v>0</v>
      </c>
      <c r="AP16" s="64">
        <v>0</v>
      </c>
      <c r="AQ16" s="64">
        <v>0</v>
      </c>
      <c r="AR16" s="64">
        <v>0</v>
      </c>
      <c r="AS16" s="64">
        <v>0</v>
      </c>
      <c r="AT16" s="64">
        <v>0</v>
      </c>
      <c r="AU16" s="64">
        <v>0</v>
      </c>
      <c r="AV16" s="64">
        <v>0</v>
      </c>
      <c r="AW16" s="64">
        <v>0</v>
      </c>
      <c r="AX16" s="64">
        <v>28232.233826086929</v>
      </c>
      <c r="AY16" s="64">
        <v>0</v>
      </c>
      <c r="AZ16" s="64">
        <v>81663.812189189193</v>
      </c>
      <c r="BA16" s="64">
        <v>0</v>
      </c>
      <c r="BB16" s="64">
        <v>0</v>
      </c>
      <c r="BC16" s="142">
        <v>0</v>
      </c>
      <c r="BD16" s="142">
        <v>0</v>
      </c>
      <c r="BE16" s="142">
        <v>159662.24</v>
      </c>
      <c r="BF16" s="142"/>
      <c r="BG16" s="142">
        <v>33411.175199999998</v>
      </c>
      <c r="BH16" s="142"/>
      <c r="BI16" s="134">
        <v>0</v>
      </c>
      <c r="BJ16" s="64"/>
      <c r="BK16" s="64"/>
      <c r="BL16" s="142">
        <v>730575.27</v>
      </c>
      <c r="BM16" s="142">
        <v>222187.8812152762</v>
      </c>
      <c r="BN16" s="142">
        <v>193073.4112</v>
      </c>
      <c r="BO16" s="142">
        <v>146267.79774983783</v>
      </c>
      <c r="BP16" s="142">
        <v>1145836.5624152762</v>
      </c>
      <c r="BQ16" s="142">
        <v>1145836.5624152762</v>
      </c>
      <c r="BR16" s="142">
        <v>0</v>
      </c>
      <c r="BS16" s="142">
        <v>952763.15121527622</v>
      </c>
      <c r="BT16" s="142">
        <v>5571.7143345922586</v>
      </c>
      <c r="BU16" s="142">
        <v>5470.9403245810054</v>
      </c>
      <c r="BV16" s="148">
        <v>1.8419870083114295E-2</v>
      </c>
      <c r="BW16" s="148">
        <v>0</v>
      </c>
      <c r="BX16" s="142">
        <v>0</v>
      </c>
      <c r="BY16" s="219">
        <v>1145836.5624152762</v>
      </c>
      <c r="BZ16" s="142">
        <v>218.88</v>
      </c>
      <c r="CA16" s="142">
        <v>1884.4199999999998</v>
      </c>
      <c r="CB16" s="188">
        <v>1143733.2624152761</v>
      </c>
      <c r="CC16" s="2"/>
      <c r="CD16" s="212">
        <f>IFERROR(VLOOKUP(B16,#REF!,29,0),0)</f>
        <v>0</v>
      </c>
      <c r="CE16" s="193">
        <f>IFERROR(VLOOKUP(B16,#REF!,28,0),0)</f>
        <v>0</v>
      </c>
      <c r="CF16" s="142"/>
      <c r="CG16" s="194"/>
      <c r="CH16" s="229">
        <v>18000</v>
      </c>
      <c r="CI16" s="229">
        <v>0</v>
      </c>
      <c r="CJ16" s="226">
        <v>116101</v>
      </c>
      <c r="CL16" s="401">
        <v>75480</v>
      </c>
      <c r="CM16" s="402">
        <v>1005</v>
      </c>
      <c r="CN16" s="402">
        <v>5060</v>
      </c>
      <c r="CO16" s="402">
        <v>7154</v>
      </c>
      <c r="CP16" s="402">
        <v>0</v>
      </c>
      <c r="CQ16" s="402">
        <v>0</v>
      </c>
      <c r="CR16" s="402">
        <v>57108.299999999996</v>
      </c>
      <c r="CS16" s="402">
        <v>6439</v>
      </c>
      <c r="CT16" s="206"/>
      <c r="CU16" s="195"/>
      <c r="CV16" s="2"/>
    </row>
    <row r="17" spans="1:100" ht="14" hidden="1" x14ac:dyDescent="0.25">
      <c r="A17" s="32">
        <v>3122011</v>
      </c>
      <c r="B17" s="184">
        <v>2011</v>
      </c>
      <c r="C17" s="179" t="s">
        <v>59</v>
      </c>
      <c r="D17" s="124">
        <v>255</v>
      </c>
      <c r="E17" s="124">
        <v>255</v>
      </c>
      <c r="F17" s="124">
        <v>0</v>
      </c>
      <c r="G17" s="124">
        <v>0</v>
      </c>
      <c r="H17" s="124">
        <v>0</v>
      </c>
      <c r="I17" s="124">
        <f t="shared" si="0"/>
        <v>63.00000000000005</v>
      </c>
      <c r="J17" s="124">
        <f t="shared" si="1"/>
        <v>0</v>
      </c>
      <c r="K17" s="124">
        <f t="shared" si="2"/>
        <v>85.999999999999915</v>
      </c>
      <c r="L17" s="124">
        <f t="shared" si="3"/>
        <v>0</v>
      </c>
      <c r="M17" s="124">
        <f t="shared" si="4"/>
        <v>95.999999999999972</v>
      </c>
      <c r="N17" s="124">
        <f t="shared" si="5"/>
        <v>7.9999999999999902</v>
      </c>
      <c r="O17" s="124">
        <f t="shared" si="6"/>
        <v>0</v>
      </c>
      <c r="P17" s="124">
        <f t="shared" si="7"/>
        <v>2.9999999999999893</v>
      </c>
      <c r="Q17" s="124">
        <f t="shared" si="8"/>
        <v>1</v>
      </c>
      <c r="R17" s="124">
        <f t="shared" si="9"/>
        <v>0</v>
      </c>
      <c r="S17" s="124">
        <f t="shared" si="10"/>
        <v>0</v>
      </c>
      <c r="T17" s="124">
        <f t="shared" si="11"/>
        <v>0</v>
      </c>
      <c r="U17" s="124">
        <f t="shared" si="12"/>
        <v>0</v>
      </c>
      <c r="V17" s="124">
        <f t="shared" si="13"/>
        <v>0</v>
      </c>
      <c r="W17" s="124">
        <f t="shared" si="14"/>
        <v>0</v>
      </c>
      <c r="X17" s="124">
        <f t="shared" si="15"/>
        <v>0</v>
      </c>
      <c r="Y17" s="124">
        <f t="shared" si="16"/>
        <v>21.000000000000004</v>
      </c>
      <c r="Z17" s="124">
        <f t="shared" si="17"/>
        <v>0</v>
      </c>
      <c r="AA17" s="124">
        <f t="shared" si="18"/>
        <v>99.631460025420907</v>
      </c>
      <c r="AB17" s="124">
        <f t="shared" si="19"/>
        <v>0</v>
      </c>
      <c r="AC17" s="124">
        <f t="shared" si="20"/>
        <v>0</v>
      </c>
      <c r="AD17" s="124">
        <f t="shared" si="21"/>
        <v>0</v>
      </c>
      <c r="AE17" s="127">
        <v>1089454.3499999999</v>
      </c>
      <c r="AF17" s="63">
        <v>0</v>
      </c>
      <c r="AG17" s="130">
        <v>0</v>
      </c>
      <c r="AH17" s="130">
        <v>34314.840000000026</v>
      </c>
      <c r="AI17" s="130">
        <v>0</v>
      </c>
      <c r="AJ17" s="130">
        <v>100308.81759999989</v>
      </c>
      <c r="AK17" s="130">
        <v>0</v>
      </c>
      <c r="AL17" s="130">
        <v>24824.121599999995</v>
      </c>
      <c r="AM17" s="130">
        <v>2508.8207999999968</v>
      </c>
      <c r="AN17" s="134">
        <v>0</v>
      </c>
      <c r="AO17" s="64">
        <v>1617.529199999994</v>
      </c>
      <c r="AP17" s="64">
        <v>572.18719999999996</v>
      </c>
      <c r="AQ17" s="64">
        <v>0</v>
      </c>
      <c r="AR17" s="64">
        <v>0</v>
      </c>
      <c r="AS17" s="64">
        <v>0</v>
      </c>
      <c r="AT17" s="64">
        <v>0</v>
      </c>
      <c r="AU17" s="64">
        <v>0</v>
      </c>
      <c r="AV17" s="64">
        <v>0</v>
      </c>
      <c r="AW17" s="64">
        <v>0</v>
      </c>
      <c r="AX17" s="64">
        <v>13748.910000000003</v>
      </c>
      <c r="AY17" s="64">
        <v>0</v>
      </c>
      <c r="AZ17" s="64">
        <v>128815.50729606721</v>
      </c>
      <c r="BA17" s="64">
        <v>0</v>
      </c>
      <c r="BB17" s="64">
        <v>0</v>
      </c>
      <c r="BC17" s="142">
        <v>0</v>
      </c>
      <c r="BD17" s="142">
        <v>0</v>
      </c>
      <c r="BE17" s="142">
        <v>159662.24</v>
      </c>
      <c r="BF17" s="142"/>
      <c r="BG17" s="142">
        <v>7051.2</v>
      </c>
      <c r="BH17" s="142"/>
      <c r="BI17" s="134">
        <v>0</v>
      </c>
      <c r="BJ17" s="64"/>
      <c r="BK17" s="64"/>
      <c r="BL17" s="142">
        <v>1089454.3499999999</v>
      </c>
      <c r="BM17" s="142">
        <v>306710.73369606707</v>
      </c>
      <c r="BN17" s="142">
        <v>166713.43600000002</v>
      </c>
      <c r="BO17" s="142">
        <v>224638.60057030313</v>
      </c>
      <c r="BP17" s="142">
        <v>1562878.5196960669</v>
      </c>
      <c r="BQ17" s="142">
        <v>1562878.5196960671</v>
      </c>
      <c r="BR17" s="142">
        <v>0</v>
      </c>
      <c r="BS17" s="142">
        <v>1396165.0836960669</v>
      </c>
      <c r="BT17" s="142">
        <v>5475.1571909649683</v>
      </c>
      <c r="BU17" s="142">
        <v>5358.2251960431649</v>
      </c>
      <c r="BV17" s="148">
        <v>2.1822896695001356E-2</v>
      </c>
      <c r="BW17" s="148">
        <v>0</v>
      </c>
      <c r="BX17" s="142">
        <v>0</v>
      </c>
      <c r="BY17" s="219">
        <v>1562878.5196960669</v>
      </c>
      <c r="BZ17" s="142">
        <v>0</v>
      </c>
      <c r="CA17" s="142">
        <v>0</v>
      </c>
      <c r="CB17" s="188">
        <v>1562878.5196960669</v>
      </c>
      <c r="CC17" s="2"/>
      <c r="CD17" s="212">
        <f>IFERROR(VLOOKUP(B17,#REF!,29,0),0)</f>
        <v>0</v>
      </c>
      <c r="CE17" s="193">
        <f>IFERROR(VLOOKUP(B17,#REF!,28,0),0)</f>
        <v>0</v>
      </c>
      <c r="CF17" s="142"/>
      <c r="CG17" s="194"/>
      <c r="CH17" s="229">
        <v>31500</v>
      </c>
      <c r="CI17" s="229">
        <v>0</v>
      </c>
      <c r="CJ17" s="226">
        <v>170801</v>
      </c>
      <c r="CL17" s="401">
        <v>0</v>
      </c>
      <c r="CM17" s="402">
        <v>0</v>
      </c>
      <c r="CN17" s="402">
        <v>0</v>
      </c>
      <c r="CO17" s="402">
        <v>0</v>
      </c>
      <c r="CP17" s="402">
        <v>26676</v>
      </c>
      <c r="CQ17" s="402">
        <v>77360.399999999994</v>
      </c>
      <c r="CR17" s="402">
        <v>0</v>
      </c>
      <c r="CS17" s="402">
        <v>0</v>
      </c>
      <c r="CT17" s="206"/>
      <c r="CU17" s="195"/>
      <c r="CV17" s="2"/>
    </row>
    <row r="18" spans="1:100" ht="14" hidden="1" x14ac:dyDescent="0.25">
      <c r="A18" s="32">
        <v>3123410</v>
      </c>
      <c r="B18" s="184">
        <v>3410</v>
      </c>
      <c r="C18" s="179" t="s">
        <v>269</v>
      </c>
      <c r="D18" s="124">
        <v>386</v>
      </c>
      <c r="E18" s="124">
        <v>386</v>
      </c>
      <c r="F18" s="124">
        <v>0</v>
      </c>
      <c r="G18" s="124">
        <v>0</v>
      </c>
      <c r="H18" s="124">
        <v>0</v>
      </c>
      <c r="I18" s="124">
        <f t="shared" si="0"/>
        <v>116.99999999999984</v>
      </c>
      <c r="J18" s="124">
        <f t="shared" si="1"/>
        <v>0</v>
      </c>
      <c r="K18" s="124">
        <f t="shared" si="2"/>
        <v>118</v>
      </c>
      <c r="L18" s="124">
        <f t="shared" si="3"/>
        <v>0</v>
      </c>
      <c r="M18" s="124">
        <f t="shared" si="4"/>
        <v>101.26233766233753</v>
      </c>
      <c r="N18" s="124">
        <f t="shared" si="5"/>
        <v>134.34805194805193</v>
      </c>
      <c r="O18" s="124">
        <f t="shared" si="6"/>
        <v>6.0155844155844216</v>
      </c>
      <c r="P18" s="124">
        <f t="shared" si="7"/>
        <v>59.153246753246655</v>
      </c>
      <c r="Q18" s="124">
        <f t="shared" si="8"/>
        <v>3.0077922077922068</v>
      </c>
      <c r="R18" s="124">
        <f t="shared" si="9"/>
        <v>0</v>
      </c>
      <c r="S18" s="124">
        <f t="shared" si="10"/>
        <v>0</v>
      </c>
      <c r="T18" s="124">
        <f t="shared" si="11"/>
        <v>0</v>
      </c>
      <c r="U18" s="124">
        <f t="shared" si="12"/>
        <v>0</v>
      </c>
      <c r="V18" s="124">
        <f t="shared" si="13"/>
        <v>0</v>
      </c>
      <c r="W18" s="124">
        <f t="shared" si="14"/>
        <v>0</v>
      </c>
      <c r="X18" s="124">
        <f t="shared" si="15"/>
        <v>0</v>
      </c>
      <c r="Y18" s="124">
        <f t="shared" si="16"/>
        <v>81.072100313479453</v>
      </c>
      <c r="Z18" s="124">
        <f t="shared" si="17"/>
        <v>0</v>
      </c>
      <c r="AA18" s="124">
        <f t="shared" si="18"/>
        <v>169.16105355279947</v>
      </c>
      <c r="AB18" s="124">
        <f t="shared" si="19"/>
        <v>0</v>
      </c>
      <c r="AC18" s="124">
        <f t="shared" si="20"/>
        <v>6.8399999999999945</v>
      </c>
      <c r="AD18" s="124">
        <f t="shared" si="21"/>
        <v>0</v>
      </c>
      <c r="AE18" s="127">
        <v>1649134.82</v>
      </c>
      <c r="AF18" s="63">
        <v>0</v>
      </c>
      <c r="AG18" s="130">
        <v>0</v>
      </c>
      <c r="AH18" s="130">
        <v>63727.55999999991</v>
      </c>
      <c r="AI18" s="130">
        <v>0</v>
      </c>
      <c r="AJ18" s="130">
        <v>137633.0288</v>
      </c>
      <c r="AK18" s="130">
        <v>0</v>
      </c>
      <c r="AL18" s="130">
        <v>26184.881079480489</v>
      </c>
      <c r="AM18" s="130">
        <v>42131.898395844153</v>
      </c>
      <c r="AN18" s="134">
        <v>2945.5922680519507</v>
      </c>
      <c r="AO18" s="64">
        <v>31894.034632727216</v>
      </c>
      <c r="AP18" s="64">
        <v>1721.0202015584409</v>
      </c>
      <c r="AQ18" s="64">
        <v>0</v>
      </c>
      <c r="AR18" s="64">
        <v>0</v>
      </c>
      <c r="AS18" s="64">
        <v>0</v>
      </c>
      <c r="AT18" s="64">
        <v>0</v>
      </c>
      <c r="AU18" s="64">
        <v>0</v>
      </c>
      <c r="AV18" s="64">
        <v>0</v>
      </c>
      <c r="AW18" s="64">
        <v>0</v>
      </c>
      <c r="AX18" s="64">
        <v>53078.714796238135</v>
      </c>
      <c r="AY18" s="64">
        <v>0</v>
      </c>
      <c r="AZ18" s="64">
        <v>218711.70935948551</v>
      </c>
      <c r="BA18" s="64">
        <v>0</v>
      </c>
      <c r="BB18" s="64">
        <v>7263.0539999999937</v>
      </c>
      <c r="BC18" s="142">
        <v>0</v>
      </c>
      <c r="BD18" s="142">
        <v>0</v>
      </c>
      <c r="BE18" s="142">
        <v>159662.24</v>
      </c>
      <c r="BF18" s="142"/>
      <c r="BG18" s="142">
        <v>11132.16</v>
      </c>
      <c r="BH18" s="142"/>
      <c r="BI18" s="134">
        <v>0</v>
      </c>
      <c r="BJ18" s="64"/>
      <c r="BK18" s="64"/>
      <c r="BL18" s="142">
        <v>1649134.82</v>
      </c>
      <c r="BM18" s="142">
        <v>585291.4935333858</v>
      </c>
      <c r="BN18" s="142">
        <v>170794.39600000001</v>
      </c>
      <c r="BO18" s="142">
        <v>381302.41768986441</v>
      </c>
      <c r="BP18" s="142">
        <v>2405220.7095333859</v>
      </c>
      <c r="BQ18" s="142">
        <v>2405220.7095333864</v>
      </c>
      <c r="BR18" s="142">
        <v>0</v>
      </c>
      <c r="BS18" s="142">
        <v>2234426.3135333857</v>
      </c>
      <c r="BT18" s="142">
        <v>5788.6692060450405</v>
      </c>
      <c r="BU18" s="142">
        <v>5546.676692248062</v>
      </c>
      <c r="BV18" s="148">
        <v>4.3628379158133196E-2</v>
      </c>
      <c r="BW18" s="148">
        <v>0</v>
      </c>
      <c r="BX18" s="142">
        <v>0</v>
      </c>
      <c r="BY18" s="219">
        <v>2405220.7095333859</v>
      </c>
      <c r="BZ18" s="142">
        <v>0</v>
      </c>
      <c r="CA18" s="142">
        <v>0</v>
      </c>
      <c r="CB18" s="188">
        <v>2405220.7095333859</v>
      </c>
      <c r="CC18" s="2"/>
      <c r="CD18" s="212">
        <f>IFERROR(VLOOKUP(B18,#REF!,29,0),0)</f>
        <v>0</v>
      </c>
      <c r="CE18" s="193">
        <f>IFERROR(VLOOKUP(B18,#REF!,28,0),0)</f>
        <v>0</v>
      </c>
      <c r="CF18" s="142"/>
      <c r="CG18" s="194"/>
      <c r="CH18" s="229">
        <v>0</v>
      </c>
      <c r="CI18" s="229">
        <v>0</v>
      </c>
      <c r="CJ18" s="226">
        <v>69267</v>
      </c>
      <c r="CL18" s="401">
        <v>0</v>
      </c>
      <c r="CM18" s="402">
        <v>0</v>
      </c>
      <c r="CN18" s="402">
        <v>0</v>
      </c>
      <c r="CO18" s="402">
        <v>0</v>
      </c>
      <c r="CP18" s="402">
        <v>18211.5</v>
      </c>
      <c r="CQ18" s="402">
        <v>52813.350000000006</v>
      </c>
      <c r="CR18" s="402">
        <v>0</v>
      </c>
      <c r="CS18" s="402">
        <v>0</v>
      </c>
      <c r="CT18" s="206"/>
      <c r="CU18" s="195"/>
      <c r="CV18" s="2"/>
    </row>
    <row r="19" spans="1:100" ht="14" hidden="1" x14ac:dyDescent="0.25">
      <c r="A19" s="32">
        <v>3122078</v>
      </c>
      <c r="B19" s="184">
        <v>2078</v>
      </c>
      <c r="C19" s="179" t="s">
        <v>270</v>
      </c>
      <c r="D19" s="124">
        <v>796</v>
      </c>
      <c r="E19" s="124">
        <v>796</v>
      </c>
      <c r="F19" s="124">
        <v>0</v>
      </c>
      <c r="G19" s="124">
        <v>0</v>
      </c>
      <c r="H19" s="124">
        <v>0</v>
      </c>
      <c r="I19" s="124">
        <f t="shared" si="0"/>
        <v>195.99999999999963</v>
      </c>
      <c r="J19" s="124">
        <f t="shared" si="1"/>
        <v>0</v>
      </c>
      <c r="K19" s="124">
        <f t="shared" si="2"/>
        <v>199.99999999999986</v>
      </c>
      <c r="L19" s="124">
        <f t="shared" si="3"/>
        <v>0</v>
      </c>
      <c r="M19" s="124">
        <f t="shared" si="4"/>
        <v>267.0063051702395</v>
      </c>
      <c r="N19" s="124">
        <f t="shared" si="5"/>
        <v>339.27868852458994</v>
      </c>
      <c r="O19" s="124">
        <f t="shared" si="6"/>
        <v>6.0226986128625448</v>
      </c>
      <c r="P19" s="124">
        <f t="shared" si="7"/>
        <v>5.0189155107187897</v>
      </c>
      <c r="Q19" s="124">
        <f t="shared" si="8"/>
        <v>0</v>
      </c>
      <c r="R19" s="124">
        <f t="shared" si="9"/>
        <v>0</v>
      </c>
      <c r="S19" s="124">
        <f t="shared" si="10"/>
        <v>0</v>
      </c>
      <c r="T19" s="124">
        <f t="shared" si="11"/>
        <v>0</v>
      </c>
      <c r="U19" s="124">
        <f t="shared" si="12"/>
        <v>0</v>
      </c>
      <c r="V19" s="124">
        <f t="shared" si="13"/>
        <v>0</v>
      </c>
      <c r="W19" s="124">
        <f t="shared" si="14"/>
        <v>0</v>
      </c>
      <c r="X19" s="124">
        <f t="shared" si="15"/>
        <v>0</v>
      </c>
      <c r="Y19" s="124">
        <f t="shared" si="16"/>
        <v>343.14369501466291</v>
      </c>
      <c r="Z19" s="124">
        <f t="shared" si="17"/>
        <v>0</v>
      </c>
      <c r="AA19" s="124">
        <f t="shared" si="18"/>
        <v>212.68784819338572</v>
      </c>
      <c r="AB19" s="124">
        <f t="shared" si="19"/>
        <v>0</v>
      </c>
      <c r="AC19" s="124">
        <f t="shared" si="20"/>
        <v>24.330566037735888</v>
      </c>
      <c r="AD19" s="124">
        <f t="shared" si="21"/>
        <v>0</v>
      </c>
      <c r="AE19" s="127">
        <v>3400806.52</v>
      </c>
      <c r="AF19" s="63">
        <v>0</v>
      </c>
      <c r="AG19" s="130">
        <v>0</v>
      </c>
      <c r="AH19" s="130">
        <v>106757.2799999998</v>
      </c>
      <c r="AI19" s="130">
        <v>0</v>
      </c>
      <c r="AJ19" s="130">
        <v>233276.31999999983</v>
      </c>
      <c r="AK19" s="130">
        <v>0</v>
      </c>
      <c r="AL19" s="130">
        <v>69043.718619924315</v>
      </c>
      <c r="AM19" s="130">
        <v>106398.67884590157</v>
      </c>
      <c r="AN19" s="134">
        <v>2949.0758073139959</v>
      </c>
      <c r="AO19" s="64">
        <v>2706.0807969735183</v>
      </c>
      <c r="AP19" s="64">
        <v>0</v>
      </c>
      <c r="AQ19" s="64">
        <v>0</v>
      </c>
      <c r="AR19" s="64">
        <v>0</v>
      </c>
      <c r="AS19" s="64">
        <v>0</v>
      </c>
      <c r="AT19" s="64">
        <v>0</v>
      </c>
      <c r="AU19" s="64">
        <v>0</v>
      </c>
      <c r="AV19" s="64">
        <v>0</v>
      </c>
      <c r="AW19" s="64">
        <v>0</v>
      </c>
      <c r="AX19" s="64">
        <v>224659.60856304996</v>
      </c>
      <c r="AY19" s="64">
        <v>0</v>
      </c>
      <c r="AZ19" s="64">
        <v>274988.37268619228</v>
      </c>
      <c r="BA19" s="64">
        <v>0</v>
      </c>
      <c r="BB19" s="64">
        <v>25835.41154716985</v>
      </c>
      <c r="BC19" s="142">
        <v>0</v>
      </c>
      <c r="BD19" s="142">
        <v>0</v>
      </c>
      <c r="BE19" s="142"/>
      <c r="BF19" s="142">
        <v>159662.24</v>
      </c>
      <c r="BG19" s="142">
        <v>14428.96</v>
      </c>
      <c r="BH19" s="142"/>
      <c r="BI19" s="134">
        <v>0</v>
      </c>
      <c r="BJ19" s="64"/>
      <c r="BK19" s="64"/>
      <c r="BL19" s="142">
        <v>3400806.52</v>
      </c>
      <c r="BM19" s="142">
        <v>1046614.5468665252</v>
      </c>
      <c r="BN19" s="142">
        <v>174091.196</v>
      </c>
      <c r="BO19" s="142">
        <v>577944.22518706217</v>
      </c>
      <c r="BP19" s="142">
        <v>4621512.262866525</v>
      </c>
      <c r="BQ19" s="142">
        <v>4621512.262866525</v>
      </c>
      <c r="BR19" s="142">
        <v>0</v>
      </c>
      <c r="BS19" s="142">
        <v>4447421.0668665254</v>
      </c>
      <c r="BT19" s="142">
        <v>5587.2123955609613</v>
      </c>
      <c r="BU19" s="142">
        <v>5558.12342029703</v>
      </c>
      <c r="BV19" s="148">
        <v>5.2335964972826839E-3</v>
      </c>
      <c r="BW19" s="148">
        <v>0</v>
      </c>
      <c r="BX19" s="142">
        <v>0</v>
      </c>
      <c r="BY19" s="219">
        <v>4621512.262866525</v>
      </c>
      <c r="BZ19" s="142">
        <v>0</v>
      </c>
      <c r="CA19" s="142">
        <v>0</v>
      </c>
      <c r="CB19" s="188">
        <v>4621512.262866525</v>
      </c>
      <c r="CC19" s="2"/>
      <c r="CD19" s="212">
        <f>IFERROR(VLOOKUP(B19,#REF!,29,0),0)</f>
        <v>0</v>
      </c>
      <c r="CE19" s="193">
        <f>IFERROR(VLOOKUP(B19,#REF!,28,0),0)</f>
        <v>0</v>
      </c>
      <c r="CF19" s="142"/>
      <c r="CG19" s="194"/>
      <c r="CH19" s="229">
        <v>0</v>
      </c>
      <c r="CI19" s="229">
        <v>0</v>
      </c>
      <c r="CJ19" s="226">
        <v>372641</v>
      </c>
      <c r="CL19" s="401">
        <v>0</v>
      </c>
      <c r="CM19" s="402">
        <v>0</v>
      </c>
      <c r="CN19" s="402">
        <v>0</v>
      </c>
      <c r="CO19" s="402">
        <v>0</v>
      </c>
      <c r="CP19" s="402">
        <v>43220.25</v>
      </c>
      <c r="CQ19" s="402">
        <v>125338.72499999999</v>
      </c>
      <c r="CR19" s="402">
        <v>0</v>
      </c>
      <c r="CS19" s="402">
        <v>0</v>
      </c>
      <c r="CT19" s="206"/>
      <c r="CU19" s="195"/>
      <c r="CV19" s="2"/>
    </row>
    <row r="20" spans="1:100" ht="14" hidden="1" x14ac:dyDescent="0.25">
      <c r="A20" s="32">
        <v>3124009</v>
      </c>
      <c r="B20" s="184">
        <v>4009</v>
      </c>
      <c r="C20" s="179" t="s">
        <v>65</v>
      </c>
      <c r="D20" s="124">
        <v>156</v>
      </c>
      <c r="E20" s="124">
        <v>0</v>
      </c>
      <c r="F20" s="124">
        <v>156</v>
      </c>
      <c r="G20" s="124">
        <v>45</v>
      </c>
      <c r="H20" s="124">
        <v>111</v>
      </c>
      <c r="I20" s="124">
        <f t="shared" si="0"/>
        <v>0</v>
      </c>
      <c r="J20" s="124">
        <f t="shared" si="1"/>
        <v>17.99999999999994</v>
      </c>
      <c r="K20" s="124">
        <f t="shared" si="2"/>
        <v>0</v>
      </c>
      <c r="L20" s="124">
        <f t="shared" si="3"/>
        <v>36.999999999999972</v>
      </c>
      <c r="M20" s="124">
        <f t="shared" si="4"/>
        <v>0</v>
      </c>
      <c r="N20" s="124">
        <f t="shared" si="5"/>
        <v>0</v>
      </c>
      <c r="O20" s="124">
        <f t="shared" si="6"/>
        <v>0</v>
      </c>
      <c r="P20" s="124">
        <f t="shared" si="7"/>
        <v>0</v>
      </c>
      <c r="Q20" s="124">
        <f t="shared" si="8"/>
        <v>0</v>
      </c>
      <c r="R20" s="124">
        <f t="shared" si="9"/>
        <v>0</v>
      </c>
      <c r="S20" s="124">
        <f t="shared" si="10"/>
        <v>47.303225806451628</v>
      </c>
      <c r="T20" s="124">
        <f t="shared" si="11"/>
        <v>28.180645161290386</v>
      </c>
      <c r="U20" s="124">
        <f t="shared" si="12"/>
        <v>8.0516129032258146</v>
      </c>
      <c r="V20" s="124">
        <f t="shared" si="13"/>
        <v>1.0064516129032264</v>
      </c>
      <c r="W20" s="124">
        <f t="shared" si="14"/>
        <v>3.0193548387096745</v>
      </c>
      <c r="X20" s="124">
        <f t="shared" si="15"/>
        <v>0</v>
      </c>
      <c r="Y20" s="124">
        <f t="shared" si="16"/>
        <v>0</v>
      </c>
      <c r="Z20" s="124">
        <f t="shared" si="17"/>
        <v>38.000090936543913</v>
      </c>
      <c r="AA20" s="124">
        <f t="shared" si="18"/>
        <v>0</v>
      </c>
      <c r="AB20" s="124">
        <f t="shared" si="19"/>
        <v>35.23366135996509</v>
      </c>
      <c r="AC20" s="124">
        <f t="shared" si="20"/>
        <v>0</v>
      </c>
      <c r="AD20" s="124">
        <f t="shared" si="21"/>
        <v>0</v>
      </c>
      <c r="AE20" s="127">
        <v>0</v>
      </c>
      <c r="AF20" s="63">
        <v>263070</v>
      </c>
      <c r="AG20" s="130">
        <v>731490</v>
      </c>
      <c r="AH20" s="130">
        <v>0</v>
      </c>
      <c r="AI20" s="130">
        <v>9804.239999999967</v>
      </c>
      <c r="AJ20" s="130">
        <v>0</v>
      </c>
      <c r="AK20" s="130">
        <v>63309.212599999948</v>
      </c>
      <c r="AL20" s="130">
        <v>0</v>
      </c>
      <c r="AM20" s="130">
        <v>0</v>
      </c>
      <c r="AN20" s="134">
        <v>0</v>
      </c>
      <c r="AO20" s="64">
        <v>0</v>
      </c>
      <c r="AP20" s="64">
        <v>0</v>
      </c>
      <c r="AQ20" s="64">
        <v>0</v>
      </c>
      <c r="AR20" s="64">
        <v>17697.196366451619</v>
      </c>
      <c r="AS20" s="64">
        <v>13953.984619354869</v>
      </c>
      <c r="AT20" s="64">
        <v>5625.8922116129088</v>
      </c>
      <c r="AU20" s="64">
        <v>769.68407225806493</v>
      </c>
      <c r="AV20" s="64">
        <v>2475.1710812903202</v>
      </c>
      <c r="AW20" s="64">
        <v>0</v>
      </c>
      <c r="AX20" s="64">
        <v>0</v>
      </c>
      <c r="AY20" s="64">
        <v>66692.819600000119</v>
      </c>
      <c r="AZ20" s="64">
        <v>0</v>
      </c>
      <c r="BA20" s="64">
        <v>69203.843623561843</v>
      </c>
      <c r="BB20" s="64">
        <v>0</v>
      </c>
      <c r="BC20" s="142">
        <v>0</v>
      </c>
      <c r="BD20" s="142">
        <v>0</v>
      </c>
      <c r="BE20" s="142">
        <v>159662.24</v>
      </c>
      <c r="BF20" s="142"/>
      <c r="BG20" s="142">
        <v>0</v>
      </c>
      <c r="BH20" s="142"/>
      <c r="BI20" s="134">
        <v>0</v>
      </c>
      <c r="BJ20" s="64"/>
      <c r="BK20" s="64"/>
      <c r="BL20" s="142">
        <v>994560</v>
      </c>
      <c r="BM20" s="142">
        <v>249532.04417452967</v>
      </c>
      <c r="BN20" s="142">
        <v>159662.236</v>
      </c>
      <c r="BO20" s="142">
        <v>116787.17703441411</v>
      </c>
      <c r="BP20" s="142">
        <v>1403754.2801745296</v>
      </c>
      <c r="BQ20" s="142">
        <v>0</v>
      </c>
      <c r="BR20" s="142">
        <v>1403754.2801745296</v>
      </c>
      <c r="BS20" s="142">
        <v>1244092.0441745296</v>
      </c>
      <c r="BT20" s="142">
        <v>7974.94900111878</v>
      </c>
      <c r="BU20" s="142">
        <v>7918.2510566176461</v>
      </c>
      <c r="BV20" s="148">
        <v>7.1604125829969464E-3</v>
      </c>
      <c r="BW20" s="148">
        <v>0</v>
      </c>
      <c r="BX20" s="142">
        <v>0</v>
      </c>
      <c r="BY20" s="219">
        <v>1403754.2801745296</v>
      </c>
      <c r="BZ20" s="142">
        <v>0</v>
      </c>
      <c r="CA20" s="142">
        <v>0</v>
      </c>
      <c r="CB20" s="188">
        <v>1403754.2801745296</v>
      </c>
      <c r="CC20" s="2"/>
      <c r="CD20" s="212">
        <f>IFERROR(VLOOKUP(B20,#REF!,29,0),0)</f>
        <v>0</v>
      </c>
      <c r="CE20" s="193">
        <f>IFERROR(VLOOKUP(B20,#REF!,28,0),0)</f>
        <v>0</v>
      </c>
      <c r="CF20" s="142"/>
      <c r="CG20" s="194"/>
      <c r="CH20" s="229">
        <v>0</v>
      </c>
      <c r="CI20" s="229">
        <v>0</v>
      </c>
      <c r="CJ20" s="226">
        <v>0</v>
      </c>
      <c r="CL20" s="401">
        <v>0</v>
      </c>
      <c r="CM20" s="402">
        <v>0</v>
      </c>
      <c r="CN20" s="402">
        <v>0</v>
      </c>
      <c r="CO20" s="402">
        <v>0</v>
      </c>
      <c r="CP20" s="402">
        <v>0</v>
      </c>
      <c r="CQ20" s="402">
        <v>0</v>
      </c>
      <c r="CR20" s="402">
        <v>0</v>
      </c>
      <c r="CS20" s="402">
        <v>0</v>
      </c>
      <c r="CT20" s="206"/>
      <c r="CU20" s="195"/>
      <c r="CV20" s="2"/>
    </row>
    <row r="21" spans="1:100" ht="14" x14ac:dyDescent="0.25">
      <c r="A21" s="32">
        <v>3122016</v>
      </c>
      <c r="B21" s="184">
        <v>2016</v>
      </c>
      <c r="C21" s="179" t="s">
        <v>67</v>
      </c>
      <c r="D21" s="124">
        <v>620</v>
      </c>
      <c r="E21" s="124">
        <v>620</v>
      </c>
      <c r="F21" s="124">
        <v>0</v>
      </c>
      <c r="G21" s="124">
        <v>0</v>
      </c>
      <c r="H21" s="124">
        <v>0</v>
      </c>
      <c r="I21" s="124">
        <f t="shared" si="0"/>
        <v>84.000000000000043</v>
      </c>
      <c r="J21" s="124">
        <f t="shared" si="1"/>
        <v>0</v>
      </c>
      <c r="K21" s="124">
        <f t="shared" si="2"/>
        <v>86.999999999999829</v>
      </c>
      <c r="L21" s="124">
        <f t="shared" si="3"/>
        <v>0</v>
      </c>
      <c r="M21" s="124">
        <f t="shared" si="4"/>
        <v>143.00000000000026</v>
      </c>
      <c r="N21" s="124">
        <f t="shared" si="5"/>
        <v>11.999999999999988</v>
      </c>
      <c r="O21" s="124">
        <f t="shared" si="6"/>
        <v>5.0000000000000009</v>
      </c>
      <c r="P21" s="124">
        <f t="shared" si="7"/>
        <v>4.0000000000000018</v>
      </c>
      <c r="Q21" s="124">
        <f t="shared" si="8"/>
        <v>0</v>
      </c>
      <c r="R21" s="124">
        <f t="shared" si="9"/>
        <v>0</v>
      </c>
      <c r="S21" s="124">
        <f t="shared" si="10"/>
        <v>0</v>
      </c>
      <c r="T21" s="124">
        <f t="shared" si="11"/>
        <v>0</v>
      </c>
      <c r="U21" s="124">
        <f t="shared" si="12"/>
        <v>0</v>
      </c>
      <c r="V21" s="124">
        <f t="shared" si="13"/>
        <v>0</v>
      </c>
      <c r="W21" s="124">
        <f t="shared" si="14"/>
        <v>0</v>
      </c>
      <c r="X21" s="124">
        <f t="shared" si="15"/>
        <v>0</v>
      </c>
      <c r="Y21" s="124">
        <f t="shared" si="16"/>
        <v>105.28301886792454</v>
      </c>
      <c r="Z21" s="124">
        <f t="shared" si="17"/>
        <v>0</v>
      </c>
      <c r="AA21" s="124">
        <f t="shared" si="18"/>
        <v>115.51916965214326</v>
      </c>
      <c r="AB21" s="124">
        <f t="shared" si="19"/>
        <v>0</v>
      </c>
      <c r="AC21" s="124">
        <f t="shared" si="20"/>
        <v>0</v>
      </c>
      <c r="AD21" s="124">
        <f t="shared" si="21"/>
        <v>0</v>
      </c>
      <c r="AE21" s="127">
        <v>2648869.4</v>
      </c>
      <c r="AF21" s="63">
        <v>0</v>
      </c>
      <c r="AG21" s="130">
        <v>0</v>
      </c>
      <c r="AH21" s="130">
        <v>45753.120000000017</v>
      </c>
      <c r="AI21" s="130">
        <v>0</v>
      </c>
      <c r="AJ21" s="130">
        <v>101475.1991999998</v>
      </c>
      <c r="AK21" s="130">
        <v>0</v>
      </c>
      <c r="AL21" s="130">
        <v>36977.597800000069</v>
      </c>
      <c r="AM21" s="130">
        <v>3763.2311999999961</v>
      </c>
      <c r="AN21" s="134">
        <v>2448.3010000000004</v>
      </c>
      <c r="AO21" s="64">
        <v>2156.7056000000007</v>
      </c>
      <c r="AP21" s="64">
        <v>0</v>
      </c>
      <c r="AQ21" s="64">
        <v>0</v>
      </c>
      <c r="AR21" s="64">
        <v>0</v>
      </c>
      <c r="AS21" s="64">
        <v>0</v>
      </c>
      <c r="AT21" s="64">
        <v>0</v>
      </c>
      <c r="AU21" s="64">
        <v>0</v>
      </c>
      <c r="AV21" s="64">
        <v>0</v>
      </c>
      <c r="AW21" s="64">
        <v>0</v>
      </c>
      <c r="AX21" s="64">
        <v>68929.845283018876</v>
      </c>
      <c r="AY21" s="64">
        <v>0</v>
      </c>
      <c r="AZ21" s="64">
        <v>149357.04482664907</v>
      </c>
      <c r="BA21" s="64">
        <v>0</v>
      </c>
      <c r="BB21" s="64">
        <v>0</v>
      </c>
      <c r="BC21" s="142">
        <v>0</v>
      </c>
      <c r="BD21" s="142">
        <v>0</v>
      </c>
      <c r="BE21" s="142">
        <v>159662.24</v>
      </c>
      <c r="BF21" s="142"/>
      <c r="BG21" s="142">
        <v>78566.176000000007</v>
      </c>
      <c r="BH21" s="142"/>
      <c r="BI21" s="134">
        <v>0</v>
      </c>
      <c r="BJ21" s="64"/>
      <c r="BK21" s="64"/>
      <c r="BL21" s="142">
        <v>2648869.4</v>
      </c>
      <c r="BM21" s="142">
        <v>410861.04490966786</v>
      </c>
      <c r="BN21" s="142">
        <v>238228.41200000001</v>
      </c>
      <c r="BO21" s="142">
        <v>307731.88892905012</v>
      </c>
      <c r="BP21" s="142">
        <v>3297958.8569096676</v>
      </c>
      <c r="BQ21" s="142">
        <v>3297958.8569096676</v>
      </c>
      <c r="BR21" s="142">
        <v>0</v>
      </c>
      <c r="BS21" s="142">
        <v>3059730.4449096676</v>
      </c>
      <c r="BT21" s="142">
        <v>4935.0491046930119</v>
      </c>
      <c r="BU21" s="142">
        <v>5017.3335809294877</v>
      </c>
      <c r="BV21" s="148">
        <v>-1.6400040959850246E-2</v>
      </c>
      <c r="BW21" s="148">
        <v>1.6400040959850246E-2</v>
      </c>
      <c r="BX21" s="142">
        <v>51016.37526661493</v>
      </c>
      <c r="BY21" s="219">
        <v>3348975.2321762824</v>
      </c>
      <c r="BZ21" s="142">
        <v>793.6</v>
      </c>
      <c r="CA21" s="142">
        <v>6832.4</v>
      </c>
      <c r="CB21" s="188">
        <v>3341349.2321762824</v>
      </c>
      <c r="CC21" s="2"/>
      <c r="CD21" s="212">
        <f>IFERROR(VLOOKUP(B21,#REF!,29,0),0)</f>
        <v>0</v>
      </c>
      <c r="CE21" s="193">
        <f>IFERROR(VLOOKUP(B21,#REF!,28,0),0)</f>
        <v>0</v>
      </c>
      <c r="CF21" s="142"/>
      <c r="CG21" s="194"/>
      <c r="CH21" s="229">
        <v>48000</v>
      </c>
      <c r="CI21" s="229">
        <v>0</v>
      </c>
      <c r="CJ21" s="226">
        <v>95487</v>
      </c>
      <c r="CL21" s="401">
        <v>139860</v>
      </c>
      <c r="CM21" s="402">
        <v>335</v>
      </c>
      <c r="CN21" s="402" t="s">
        <v>266</v>
      </c>
      <c r="CO21" s="402">
        <v>8883</v>
      </c>
      <c r="CP21" s="402">
        <v>38090.25</v>
      </c>
      <c r="CQ21" s="402">
        <v>110461.72499999999</v>
      </c>
      <c r="CR21" s="402">
        <v>110785.20000000001</v>
      </c>
      <c r="CS21" s="402">
        <v>11787.25</v>
      </c>
      <c r="CT21" s="206"/>
      <c r="CU21" s="195"/>
      <c r="CV21" s="2"/>
    </row>
    <row r="22" spans="1:100" ht="14" x14ac:dyDescent="0.25">
      <c r="A22" s="32">
        <v>3123307</v>
      </c>
      <c r="B22" s="184">
        <v>3307</v>
      </c>
      <c r="C22" s="179" t="s">
        <v>271</v>
      </c>
      <c r="D22" s="124">
        <v>408</v>
      </c>
      <c r="E22" s="124">
        <v>408</v>
      </c>
      <c r="F22" s="124">
        <v>0</v>
      </c>
      <c r="G22" s="124">
        <v>0</v>
      </c>
      <c r="H22" s="124">
        <v>0</v>
      </c>
      <c r="I22" s="124">
        <f t="shared" si="0"/>
        <v>92.999999999999901</v>
      </c>
      <c r="J22" s="124">
        <f t="shared" si="1"/>
        <v>0</v>
      </c>
      <c r="K22" s="124">
        <f t="shared" si="2"/>
        <v>95.000000000000014</v>
      </c>
      <c r="L22" s="124">
        <f t="shared" si="3"/>
        <v>0</v>
      </c>
      <c r="M22" s="124">
        <f t="shared" si="4"/>
        <v>150.99999999999989</v>
      </c>
      <c r="N22" s="124">
        <f t="shared" si="5"/>
        <v>147.00000000000006</v>
      </c>
      <c r="O22" s="124">
        <f t="shared" si="6"/>
        <v>4.9999999999999947</v>
      </c>
      <c r="P22" s="124">
        <f t="shared" si="7"/>
        <v>0.999999999999999</v>
      </c>
      <c r="Q22" s="124">
        <f t="shared" si="8"/>
        <v>3.0000000000000009</v>
      </c>
      <c r="R22" s="124">
        <f t="shared" si="9"/>
        <v>0</v>
      </c>
      <c r="S22" s="124">
        <f t="shared" si="10"/>
        <v>0</v>
      </c>
      <c r="T22" s="124">
        <f t="shared" si="11"/>
        <v>0</v>
      </c>
      <c r="U22" s="124">
        <f t="shared" si="12"/>
        <v>0</v>
      </c>
      <c r="V22" s="124">
        <f t="shared" si="13"/>
        <v>0</v>
      </c>
      <c r="W22" s="124">
        <f t="shared" si="14"/>
        <v>0</v>
      </c>
      <c r="X22" s="124">
        <f t="shared" si="15"/>
        <v>0</v>
      </c>
      <c r="Y22" s="124">
        <f t="shared" si="16"/>
        <v>110.33239436619733</v>
      </c>
      <c r="Z22" s="124">
        <f t="shared" si="17"/>
        <v>0</v>
      </c>
      <c r="AA22" s="124">
        <f t="shared" si="18"/>
        <v>124.03872200436645</v>
      </c>
      <c r="AB22" s="124">
        <f t="shared" si="19"/>
        <v>0</v>
      </c>
      <c r="AC22" s="124">
        <f t="shared" si="20"/>
        <v>0</v>
      </c>
      <c r="AD22" s="124">
        <f t="shared" si="21"/>
        <v>0</v>
      </c>
      <c r="AE22" s="127">
        <v>1743126.96</v>
      </c>
      <c r="AF22" s="63">
        <v>0</v>
      </c>
      <c r="AG22" s="130">
        <v>0</v>
      </c>
      <c r="AH22" s="130">
        <v>50655.23999999994</v>
      </c>
      <c r="AI22" s="130">
        <v>0</v>
      </c>
      <c r="AJ22" s="130">
        <v>110806.25200000001</v>
      </c>
      <c r="AK22" s="130">
        <v>0</v>
      </c>
      <c r="AL22" s="130">
        <v>39046.274599999975</v>
      </c>
      <c r="AM22" s="130">
        <v>46099.582200000019</v>
      </c>
      <c r="AN22" s="134">
        <v>2448.3009999999972</v>
      </c>
      <c r="AO22" s="64">
        <v>539.17639999999938</v>
      </c>
      <c r="AP22" s="64">
        <v>1716.5616000000005</v>
      </c>
      <c r="AQ22" s="64">
        <v>0</v>
      </c>
      <c r="AR22" s="64">
        <v>0</v>
      </c>
      <c r="AS22" s="64">
        <v>0</v>
      </c>
      <c r="AT22" s="64">
        <v>0</v>
      </c>
      <c r="AU22" s="64">
        <v>0</v>
      </c>
      <c r="AV22" s="64">
        <v>0</v>
      </c>
      <c r="AW22" s="64">
        <v>0</v>
      </c>
      <c r="AX22" s="64">
        <v>72235.721915493064</v>
      </c>
      <c r="AY22" s="64">
        <v>0</v>
      </c>
      <c r="AZ22" s="64">
        <v>160372.14445388547</v>
      </c>
      <c r="BA22" s="64">
        <v>0</v>
      </c>
      <c r="BB22" s="64">
        <v>0</v>
      </c>
      <c r="BC22" s="142">
        <v>0</v>
      </c>
      <c r="BD22" s="142">
        <v>0</v>
      </c>
      <c r="BE22" s="142">
        <v>159662.24</v>
      </c>
      <c r="BF22" s="142"/>
      <c r="BG22" s="142">
        <v>9646.0416000000005</v>
      </c>
      <c r="BH22" s="142"/>
      <c r="BI22" s="134">
        <v>0</v>
      </c>
      <c r="BJ22" s="64"/>
      <c r="BK22" s="64"/>
      <c r="BL22" s="142">
        <v>1743126.96</v>
      </c>
      <c r="BM22" s="142">
        <v>483919.25416937843</v>
      </c>
      <c r="BN22" s="142">
        <v>169308.2776</v>
      </c>
      <c r="BO22" s="142">
        <v>309705.15558865236</v>
      </c>
      <c r="BP22" s="142">
        <v>2396354.4917693785</v>
      </c>
      <c r="BQ22" s="142">
        <v>2396354.4917693785</v>
      </c>
      <c r="BR22" s="142">
        <v>0</v>
      </c>
      <c r="BS22" s="142">
        <v>2227046.2141693784</v>
      </c>
      <c r="BT22" s="142">
        <v>5458.4466033563194</v>
      </c>
      <c r="BU22" s="142">
        <v>5358.9675951573845</v>
      </c>
      <c r="BV22" s="148">
        <v>1.8563091944953886E-2</v>
      </c>
      <c r="BW22" s="148">
        <v>0</v>
      </c>
      <c r="BX22" s="142">
        <v>0</v>
      </c>
      <c r="BY22" s="219">
        <v>2396354.4917693785</v>
      </c>
      <c r="BZ22" s="142">
        <v>522.24</v>
      </c>
      <c r="CA22" s="142">
        <v>4496.16</v>
      </c>
      <c r="CB22" s="188">
        <v>2391336.0917693786</v>
      </c>
      <c r="CC22" s="2"/>
      <c r="CD22" s="212">
        <f>IFERROR(VLOOKUP(B22,#REF!,29,0),0)</f>
        <v>0</v>
      </c>
      <c r="CE22" s="193">
        <f>IFERROR(VLOOKUP(B22,#REF!,28,0),0)</f>
        <v>0</v>
      </c>
      <c r="CF22" s="142"/>
      <c r="CG22" s="194"/>
      <c r="CH22" s="229">
        <v>0</v>
      </c>
      <c r="CI22" s="229">
        <v>0</v>
      </c>
      <c r="CJ22" s="226">
        <v>79588</v>
      </c>
      <c r="CL22" s="401">
        <v>143560</v>
      </c>
      <c r="CM22" s="402" t="s">
        <v>266</v>
      </c>
      <c r="CN22" s="402">
        <v>2530</v>
      </c>
      <c r="CO22" s="402">
        <v>8154</v>
      </c>
      <c r="CP22" s="402">
        <v>22443.75</v>
      </c>
      <c r="CQ22" s="402">
        <v>65086.875</v>
      </c>
      <c r="CR22" s="402">
        <v>63971.1</v>
      </c>
      <c r="CS22" s="402">
        <v>0</v>
      </c>
      <c r="CT22" s="206"/>
      <c r="CU22" s="195"/>
      <c r="CV22" s="2"/>
    </row>
    <row r="23" spans="1:100" ht="14" x14ac:dyDescent="0.25">
      <c r="A23" s="32">
        <v>3122019</v>
      </c>
      <c r="B23" s="184">
        <v>2019</v>
      </c>
      <c r="C23" s="179" t="s">
        <v>71</v>
      </c>
      <c r="D23" s="124">
        <v>240</v>
      </c>
      <c r="E23" s="124">
        <v>240</v>
      </c>
      <c r="F23" s="124">
        <v>0</v>
      </c>
      <c r="G23" s="124">
        <v>0</v>
      </c>
      <c r="H23" s="124">
        <v>0</v>
      </c>
      <c r="I23" s="124">
        <f t="shared" si="0"/>
        <v>46.000000000000085</v>
      </c>
      <c r="J23" s="124">
        <f t="shared" si="1"/>
        <v>0</v>
      </c>
      <c r="K23" s="124">
        <f t="shared" si="2"/>
        <v>46.999999999999922</v>
      </c>
      <c r="L23" s="124">
        <f t="shared" si="3"/>
        <v>0</v>
      </c>
      <c r="M23" s="124">
        <f t="shared" si="4"/>
        <v>49.000000000000078</v>
      </c>
      <c r="N23" s="124">
        <f t="shared" si="5"/>
        <v>9</v>
      </c>
      <c r="O23" s="124">
        <f t="shared" si="6"/>
        <v>4.999999999999992</v>
      </c>
      <c r="P23" s="124">
        <f t="shared" si="7"/>
        <v>1.0000000000000009</v>
      </c>
      <c r="Q23" s="124">
        <f t="shared" si="8"/>
        <v>0</v>
      </c>
      <c r="R23" s="124">
        <f t="shared" si="9"/>
        <v>0</v>
      </c>
      <c r="S23" s="124">
        <f t="shared" si="10"/>
        <v>0</v>
      </c>
      <c r="T23" s="124">
        <f t="shared" si="11"/>
        <v>0</v>
      </c>
      <c r="U23" s="124">
        <f t="shared" si="12"/>
        <v>0</v>
      </c>
      <c r="V23" s="124">
        <f t="shared" si="13"/>
        <v>0</v>
      </c>
      <c r="W23" s="124">
        <f t="shared" si="14"/>
        <v>0</v>
      </c>
      <c r="X23" s="124">
        <f t="shared" si="15"/>
        <v>0</v>
      </c>
      <c r="Y23" s="124">
        <f t="shared" si="16"/>
        <v>117.73584905660377</v>
      </c>
      <c r="Z23" s="124">
        <f t="shared" si="17"/>
        <v>0</v>
      </c>
      <c r="AA23" s="124">
        <f t="shared" si="18"/>
        <v>94.777289977695318</v>
      </c>
      <c r="AB23" s="124">
        <f t="shared" si="19"/>
        <v>0</v>
      </c>
      <c r="AC23" s="124">
        <f t="shared" si="20"/>
        <v>0</v>
      </c>
      <c r="AD23" s="124">
        <f t="shared" si="21"/>
        <v>0</v>
      </c>
      <c r="AE23" s="127">
        <v>1025368.7999999999</v>
      </c>
      <c r="AF23" s="63">
        <v>0</v>
      </c>
      <c r="AG23" s="130">
        <v>0</v>
      </c>
      <c r="AH23" s="130">
        <v>25055.280000000042</v>
      </c>
      <c r="AI23" s="130">
        <v>0</v>
      </c>
      <c r="AJ23" s="130">
        <v>54819.935199999905</v>
      </c>
      <c r="AK23" s="130">
        <v>0</v>
      </c>
      <c r="AL23" s="130">
        <v>12670.645400000021</v>
      </c>
      <c r="AM23" s="130">
        <v>2822.4234000000001</v>
      </c>
      <c r="AN23" s="134">
        <v>2448.3009999999958</v>
      </c>
      <c r="AO23" s="64">
        <v>539.1764000000004</v>
      </c>
      <c r="AP23" s="64">
        <v>0</v>
      </c>
      <c r="AQ23" s="64">
        <v>0</v>
      </c>
      <c r="AR23" s="64">
        <v>0</v>
      </c>
      <c r="AS23" s="64">
        <v>0</v>
      </c>
      <c r="AT23" s="64">
        <v>0</v>
      </c>
      <c r="AU23" s="64">
        <v>0</v>
      </c>
      <c r="AV23" s="64">
        <v>0</v>
      </c>
      <c r="AW23" s="64">
        <v>0</v>
      </c>
      <c r="AX23" s="64">
        <v>77082.837735849054</v>
      </c>
      <c r="AY23" s="64">
        <v>0</v>
      </c>
      <c r="AZ23" s="64">
        <v>122539.45375796183</v>
      </c>
      <c r="BA23" s="64">
        <v>0</v>
      </c>
      <c r="BB23" s="64">
        <v>0</v>
      </c>
      <c r="BC23" s="142">
        <v>0</v>
      </c>
      <c r="BD23" s="142">
        <v>0</v>
      </c>
      <c r="BE23" s="142">
        <v>159662.24</v>
      </c>
      <c r="BF23" s="142"/>
      <c r="BG23" s="142">
        <v>52853.944000000003</v>
      </c>
      <c r="BH23" s="142"/>
      <c r="BI23" s="134">
        <v>0</v>
      </c>
      <c r="BJ23" s="64"/>
      <c r="BK23" s="64"/>
      <c r="BL23" s="142">
        <v>1025368.7999999999</v>
      </c>
      <c r="BM23" s="142">
        <v>297978.05289381085</v>
      </c>
      <c r="BN23" s="142">
        <v>212516.18</v>
      </c>
      <c r="BO23" s="142">
        <v>190993.08269448407</v>
      </c>
      <c r="BP23" s="142">
        <v>1535863.0328938107</v>
      </c>
      <c r="BQ23" s="142">
        <v>1535863.0328938107</v>
      </c>
      <c r="BR23" s="142">
        <v>0</v>
      </c>
      <c r="BS23" s="142">
        <v>1323346.8528938107</v>
      </c>
      <c r="BT23" s="142">
        <v>5513.9452203908777</v>
      </c>
      <c r="BU23" s="142">
        <v>5358.9111831967211</v>
      </c>
      <c r="BV23" s="148">
        <v>2.8930137465289166E-2</v>
      </c>
      <c r="BW23" s="148">
        <v>0</v>
      </c>
      <c r="BX23" s="142">
        <v>0</v>
      </c>
      <c r="BY23" s="219">
        <v>1535863.0328938107</v>
      </c>
      <c r="BZ23" s="142">
        <v>307.2</v>
      </c>
      <c r="CA23" s="142">
        <v>2644.7999999999997</v>
      </c>
      <c r="CB23" s="188">
        <v>1532911.0328938107</v>
      </c>
      <c r="CC23" s="2"/>
      <c r="CD23" s="212">
        <f>IFERROR(VLOOKUP(B23,#REF!,29,0),0)</f>
        <v>0</v>
      </c>
      <c r="CE23" s="193">
        <f>IFERROR(VLOOKUP(B23,#REF!,28,0),0)</f>
        <v>0</v>
      </c>
      <c r="CF23" s="142"/>
      <c r="CG23" s="194"/>
      <c r="CH23" s="229">
        <v>0</v>
      </c>
      <c r="CI23" s="229">
        <v>0</v>
      </c>
      <c r="CJ23" s="226">
        <v>88401</v>
      </c>
      <c r="CL23" s="401">
        <v>66600</v>
      </c>
      <c r="CM23" s="402" t="s">
        <v>266</v>
      </c>
      <c r="CN23" s="402" t="s">
        <v>266</v>
      </c>
      <c r="CO23" s="402">
        <v>7342</v>
      </c>
      <c r="CP23" s="402">
        <v>0</v>
      </c>
      <c r="CQ23" s="402">
        <v>0</v>
      </c>
      <c r="CR23" s="402">
        <v>77206.5</v>
      </c>
      <c r="CS23" s="402">
        <v>7620.25</v>
      </c>
      <c r="CT23" s="206"/>
      <c r="CU23" s="195"/>
      <c r="CV23" s="2"/>
    </row>
    <row r="24" spans="1:100" ht="14" hidden="1" x14ac:dyDescent="0.25">
      <c r="A24" s="32">
        <v>3122018</v>
      </c>
      <c r="B24" s="184">
        <v>2018</v>
      </c>
      <c r="C24" s="179" t="s">
        <v>73</v>
      </c>
      <c r="D24" s="124">
        <v>286</v>
      </c>
      <c r="E24" s="124">
        <v>286</v>
      </c>
      <c r="F24" s="124">
        <v>0</v>
      </c>
      <c r="G24" s="124">
        <v>0</v>
      </c>
      <c r="H24" s="124">
        <v>0</v>
      </c>
      <c r="I24" s="124">
        <f t="shared" si="0"/>
        <v>76.999999999999929</v>
      </c>
      <c r="J24" s="124">
        <f t="shared" si="1"/>
        <v>0</v>
      </c>
      <c r="K24" s="124">
        <f t="shared" si="2"/>
        <v>76.999999999999929</v>
      </c>
      <c r="L24" s="124">
        <f t="shared" si="3"/>
        <v>0</v>
      </c>
      <c r="M24" s="124">
        <f t="shared" si="4"/>
        <v>56.999999999999915</v>
      </c>
      <c r="N24" s="124">
        <f t="shared" si="5"/>
        <v>8.0000000000000071</v>
      </c>
      <c r="O24" s="124">
        <f t="shared" si="6"/>
        <v>6.0000000000000062</v>
      </c>
      <c r="P24" s="124">
        <f t="shared" si="7"/>
        <v>1.9999999999999991</v>
      </c>
      <c r="Q24" s="124">
        <f t="shared" si="8"/>
        <v>0</v>
      </c>
      <c r="R24" s="124">
        <f t="shared" si="9"/>
        <v>0</v>
      </c>
      <c r="S24" s="124">
        <f t="shared" si="10"/>
        <v>0</v>
      </c>
      <c r="T24" s="124">
        <f t="shared" si="11"/>
        <v>0</v>
      </c>
      <c r="U24" s="124">
        <f t="shared" si="12"/>
        <v>0</v>
      </c>
      <c r="V24" s="124">
        <f t="shared" si="13"/>
        <v>0</v>
      </c>
      <c r="W24" s="124">
        <f t="shared" si="14"/>
        <v>0</v>
      </c>
      <c r="X24" s="124">
        <f t="shared" si="15"/>
        <v>0</v>
      </c>
      <c r="Y24" s="124">
        <f t="shared" si="16"/>
        <v>34.999999999999893</v>
      </c>
      <c r="Z24" s="124">
        <f t="shared" si="17"/>
        <v>0</v>
      </c>
      <c r="AA24" s="124">
        <f t="shared" si="18"/>
        <v>63.66365439309466</v>
      </c>
      <c r="AB24" s="124">
        <f t="shared" si="19"/>
        <v>0</v>
      </c>
      <c r="AC24" s="124">
        <f t="shared" si="20"/>
        <v>0.83999999999999042</v>
      </c>
      <c r="AD24" s="124">
        <f t="shared" si="21"/>
        <v>0</v>
      </c>
      <c r="AE24" s="127">
        <v>1221897.82</v>
      </c>
      <c r="AF24" s="63">
        <v>0</v>
      </c>
      <c r="AG24" s="130">
        <v>0</v>
      </c>
      <c r="AH24" s="130">
        <v>41940.359999999957</v>
      </c>
      <c r="AI24" s="130">
        <v>0</v>
      </c>
      <c r="AJ24" s="130">
        <v>89811.383199999909</v>
      </c>
      <c r="AK24" s="130">
        <v>0</v>
      </c>
      <c r="AL24" s="130">
        <v>14739.322199999979</v>
      </c>
      <c r="AM24" s="130">
        <v>2508.8208000000022</v>
      </c>
      <c r="AN24" s="134">
        <v>2937.9612000000029</v>
      </c>
      <c r="AO24" s="64">
        <v>1078.3527999999994</v>
      </c>
      <c r="AP24" s="64">
        <v>0</v>
      </c>
      <c r="AQ24" s="64">
        <v>0</v>
      </c>
      <c r="AR24" s="64">
        <v>0</v>
      </c>
      <c r="AS24" s="64">
        <v>0</v>
      </c>
      <c r="AT24" s="64">
        <v>0</v>
      </c>
      <c r="AU24" s="64">
        <v>0</v>
      </c>
      <c r="AV24" s="64">
        <v>0</v>
      </c>
      <c r="AW24" s="64">
        <v>0</v>
      </c>
      <c r="AX24" s="64">
        <v>22914.849999999933</v>
      </c>
      <c r="AY24" s="64">
        <v>0</v>
      </c>
      <c r="AZ24" s="64">
        <v>82312.012037919951</v>
      </c>
      <c r="BA24" s="64">
        <v>0</v>
      </c>
      <c r="BB24" s="64">
        <v>891.95399999998972</v>
      </c>
      <c r="BC24" s="142">
        <v>0</v>
      </c>
      <c r="BD24" s="142">
        <v>0</v>
      </c>
      <c r="BE24" s="142">
        <v>159662.24</v>
      </c>
      <c r="BF24" s="142"/>
      <c r="BG24" s="142">
        <v>45458.400000000001</v>
      </c>
      <c r="BH24" s="142"/>
      <c r="BI24" s="134">
        <v>0</v>
      </c>
      <c r="BJ24" s="64"/>
      <c r="BK24" s="64"/>
      <c r="BL24" s="142">
        <v>1221897.82</v>
      </c>
      <c r="BM24" s="142">
        <v>259135.01623791971</v>
      </c>
      <c r="BN24" s="142">
        <v>205120.636</v>
      </c>
      <c r="BO24" s="142">
        <v>177413.79537764468</v>
      </c>
      <c r="BP24" s="142">
        <v>1686153.4722379197</v>
      </c>
      <c r="BQ24" s="142">
        <v>1686153.4722379195</v>
      </c>
      <c r="BR24" s="142">
        <v>0</v>
      </c>
      <c r="BS24" s="142">
        <v>1481032.8362379197</v>
      </c>
      <c r="BT24" s="142">
        <v>5178.4364903423766</v>
      </c>
      <c r="BU24" s="142">
        <v>5183.4489327217125</v>
      </c>
      <c r="BV24" s="148">
        <v>-9.67009117750478E-4</v>
      </c>
      <c r="BW24" s="148">
        <v>9.67009117750478E-4</v>
      </c>
      <c r="BX24" s="142">
        <v>1433.5585204900617</v>
      </c>
      <c r="BY24" s="219">
        <v>1687587.0307584098</v>
      </c>
      <c r="BZ24" s="142">
        <v>0</v>
      </c>
      <c r="CA24" s="142">
        <v>0</v>
      </c>
      <c r="CB24" s="188">
        <v>1687587.0307584098</v>
      </c>
      <c r="CC24" s="2"/>
      <c r="CD24" s="212">
        <f>IFERROR(VLOOKUP(B24,#REF!,29,0),0)</f>
        <v>0</v>
      </c>
      <c r="CE24" s="193">
        <f>IFERROR(VLOOKUP(B24,#REF!,28,0),0)</f>
        <v>0</v>
      </c>
      <c r="CF24" s="142"/>
      <c r="CG24" s="194"/>
      <c r="CH24" s="229">
        <v>0</v>
      </c>
      <c r="CI24" s="229">
        <v>0</v>
      </c>
      <c r="CJ24" s="226">
        <v>41100</v>
      </c>
      <c r="CL24" s="401">
        <v>0</v>
      </c>
      <c r="CM24" s="402">
        <v>0</v>
      </c>
      <c r="CN24" s="402">
        <v>0</v>
      </c>
      <c r="CO24" s="402">
        <v>0</v>
      </c>
      <c r="CP24" s="402">
        <v>29369.25</v>
      </c>
      <c r="CQ24" s="402">
        <v>85170.825000000012</v>
      </c>
      <c r="CR24" s="402">
        <v>0</v>
      </c>
      <c r="CS24" s="402">
        <v>0</v>
      </c>
      <c r="CT24" s="206"/>
      <c r="CU24" s="195"/>
      <c r="CV24" s="2"/>
    </row>
    <row r="25" spans="1:100" ht="14" x14ac:dyDescent="0.25">
      <c r="A25" s="32">
        <v>3122076</v>
      </c>
      <c r="B25" s="184">
        <v>2076</v>
      </c>
      <c r="C25" s="179" t="s">
        <v>75</v>
      </c>
      <c r="D25" s="124">
        <v>378</v>
      </c>
      <c r="E25" s="124">
        <v>378</v>
      </c>
      <c r="F25" s="124">
        <v>0</v>
      </c>
      <c r="G25" s="124">
        <v>0</v>
      </c>
      <c r="H25" s="124">
        <v>0</v>
      </c>
      <c r="I25" s="124">
        <f t="shared" si="0"/>
        <v>40.999999999999822</v>
      </c>
      <c r="J25" s="124">
        <f t="shared" si="1"/>
        <v>0</v>
      </c>
      <c r="K25" s="124">
        <f t="shared" si="2"/>
        <v>43.000000000000092</v>
      </c>
      <c r="L25" s="124">
        <f t="shared" si="3"/>
        <v>0</v>
      </c>
      <c r="M25" s="124">
        <f t="shared" si="4"/>
        <v>46.000000000000121</v>
      </c>
      <c r="N25" s="124">
        <f t="shared" si="5"/>
        <v>1.0000000000000018</v>
      </c>
      <c r="O25" s="124">
        <f t="shared" si="6"/>
        <v>1.0000000000000018</v>
      </c>
      <c r="P25" s="124">
        <f t="shared" si="7"/>
        <v>0</v>
      </c>
      <c r="Q25" s="124">
        <f t="shared" si="8"/>
        <v>0</v>
      </c>
      <c r="R25" s="124">
        <f t="shared" si="9"/>
        <v>0</v>
      </c>
      <c r="S25" s="124">
        <f t="shared" si="10"/>
        <v>0</v>
      </c>
      <c r="T25" s="124">
        <f t="shared" si="11"/>
        <v>0</v>
      </c>
      <c r="U25" s="124">
        <f t="shared" si="12"/>
        <v>0</v>
      </c>
      <c r="V25" s="124">
        <f t="shared" si="13"/>
        <v>0</v>
      </c>
      <c r="W25" s="124">
        <f t="shared" si="14"/>
        <v>0</v>
      </c>
      <c r="X25" s="124">
        <f t="shared" si="15"/>
        <v>0</v>
      </c>
      <c r="Y25" s="124">
        <f t="shared" si="16"/>
        <v>71.234042553191443</v>
      </c>
      <c r="Z25" s="124">
        <f t="shared" si="17"/>
        <v>0</v>
      </c>
      <c r="AA25" s="124">
        <f t="shared" si="18"/>
        <v>105.65375558735566</v>
      </c>
      <c r="AB25" s="124">
        <f t="shared" si="19"/>
        <v>0</v>
      </c>
      <c r="AC25" s="124">
        <f t="shared" si="20"/>
        <v>9.4902127659574465</v>
      </c>
      <c r="AD25" s="124">
        <f t="shared" si="21"/>
        <v>0</v>
      </c>
      <c r="AE25" s="127">
        <v>1614955.8599999999</v>
      </c>
      <c r="AF25" s="63">
        <v>0</v>
      </c>
      <c r="AG25" s="130">
        <v>0</v>
      </c>
      <c r="AH25" s="130">
        <v>22331.879999999903</v>
      </c>
      <c r="AI25" s="130">
        <v>0</v>
      </c>
      <c r="AJ25" s="130">
        <v>50154.408800000107</v>
      </c>
      <c r="AK25" s="130">
        <v>0</v>
      </c>
      <c r="AL25" s="130">
        <v>11894.891600000032</v>
      </c>
      <c r="AM25" s="130">
        <v>313.60260000000056</v>
      </c>
      <c r="AN25" s="134">
        <v>489.66020000000083</v>
      </c>
      <c r="AO25" s="64">
        <v>0</v>
      </c>
      <c r="AP25" s="64">
        <v>0</v>
      </c>
      <c r="AQ25" s="64">
        <v>0</v>
      </c>
      <c r="AR25" s="64">
        <v>0</v>
      </c>
      <c r="AS25" s="64">
        <v>0</v>
      </c>
      <c r="AT25" s="64">
        <v>0</v>
      </c>
      <c r="AU25" s="64">
        <v>0</v>
      </c>
      <c r="AV25" s="64">
        <v>0</v>
      </c>
      <c r="AW25" s="64">
        <v>0</v>
      </c>
      <c r="AX25" s="64">
        <v>46637.63999999997</v>
      </c>
      <c r="AY25" s="64">
        <v>0</v>
      </c>
      <c r="AZ25" s="64">
        <v>136601.85367400388</v>
      </c>
      <c r="BA25" s="64">
        <v>0</v>
      </c>
      <c r="BB25" s="64">
        <v>10077.182425531913</v>
      </c>
      <c r="BC25" s="142">
        <v>0</v>
      </c>
      <c r="BD25" s="142">
        <v>0</v>
      </c>
      <c r="BE25" s="142">
        <v>159662.24</v>
      </c>
      <c r="BF25" s="142"/>
      <c r="BG25" s="142">
        <v>27156.038</v>
      </c>
      <c r="BH25" s="142"/>
      <c r="BI25" s="134">
        <v>0</v>
      </c>
      <c r="BJ25" s="64"/>
      <c r="BK25" s="64"/>
      <c r="BL25" s="142">
        <v>1614955.8599999999</v>
      </c>
      <c r="BM25" s="142">
        <v>278501.11929953576</v>
      </c>
      <c r="BN25" s="142">
        <v>186818.274</v>
      </c>
      <c r="BO25" s="142">
        <v>222549.20242215943</v>
      </c>
      <c r="BP25" s="142">
        <v>2080275.2532995355</v>
      </c>
      <c r="BQ25" s="142">
        <v>2080275.2532995357</v>
      </c>
      <c r="BR25" s="142">
        <v>0</v>
      </c>
      <c r="BS25" s="142">
        <v>1893456.9792995355</v>
      </c>
      <c r="BT25" s="142">
        <v>5009.1454478823689</v>
      </c>
      <c r="BU25" s="142">
        <v>4920.1369262755106</v>
      </c>
      <c r="BV25" s="148">
        <v>1.8090659455332829E-2</v>
      </c>
      <c r="BW25" s="148">
        <v>0</v>
      </c>
      <c r="BX25" s="142">
        <v>0</v>
      </c>
      <c r="BY25" s="219">
        <v>2080275.2532995355</v>
      </c>
      <c r="BZ25" s="142">
        <v>483.84000000000003</v>
      </c>
      <c r="CA25" s="142">
        <v>4165.5599999999995</v>
      </c>
      <c r="CB25" s="188">
        <v>2075625.8532995356</v>
      </c>
      <c r="CC25" s="2"/>
      <c r="CD25" s="212">
        <f>IFERROR(VLOOKUP(B25,#REF!,29,0),0)</f>
        <v>0</v>
      </c>
      <c r="CE25" s="193">
        <f>IFERROR(VLOOKUP(B25,#REF!,28,0),0)</f>
        <v>0</v>
      </c>
      <c r="CF25" s="142"/>
      <c r="CG25" s="194"/>
      <c r="CH25" s="229">
        <v>0</v>
      </c>
      <c r="CI25" s="229">
        <v>0</v>
      </c>
      <c r="CJ25" s="226">
        <v>63090</v>
      </c>
      <c r="CL25" s="401">
        <v>57720</v>
      </c>
      <c r="CM25" s="402">
        <v>6365</v>
      </c>
      <c r="CN25" s="402">
        <v>5060</v>
      </c>
      <c r="CO25" s="402">
        <v>8062</v>
      </c>
      <c r="CP25" s="402">
        <v>26163</v>
      </c>
      <c r="CQ25" s="402">
        <v>75872.700000000012</v>
      </c>
      <c r="CR25" s="402">
        <v>72794.7</v>
      </c>
      <c r="CS25" s="402">
        <v>8659.75</v>
      </c>
      <c r="CT25" s="206"/>
      <c r="CU25" s="195"/>
      <c r="CV25" s="2"/>
    </row>
    <row r="26" spans="1:100" ht="14" x14ac:dyDescent="0.25">
      <c r="A26" s="32">
        <v>3122020</v>
      </c>
      <c r="B26" s="184">
        <v>2020</v>
      </c>
      <c r="C26" s="179" t="s">
        <v>77</v>
      </c>
      <c r="D26" s="124">
        <v>579</v>
      </c>
      <c r="E26" s="124">
        <v>579</v>
      </c>
      <c r="F26" s="124">
        <v>0</v>
      </c>
      <c r="G26" s="124">
        <v>0</v>
      </c>
      <c r="H26" s="124">
        <v>0</v>
      </c>
      <c r="I26" s="124">
        <f t="shared" si="0"/>
        <v>52.000000000000021</v>
      </c>
      <c r="J26" s="124">
        <f t="shared" si="1"/>
        <v>0</v>
      </c>
      <c r="K26" s="124">
        <f t="shared" si="2"/>
        <v>53.999999999999993</v>
      </c>
      <c r="L26" s="124">
        <f t="shared" si="3"/>
        <v>0</v>
      </c>
      <c r="M26" s="124">
        <f t="shared" si="4"/>
        <v>30.103986135181994</v>
      </c>
      <c r="N26" s="124">
        <f t="shared" si="5"/>
        <v>20.069324090121327</v>
      </c>
      <c r="O26" s="124">
        <f t="shared" si="6"/>
        <v>4.013864818024266</v>
      </c>
      <c r="P26" s="124">
        <f t="shared" si="7"/>
        <v>1.0034662045060665</v>
      </c>
      <c r="Q26" s="124">
        <f t="shared" si="8"/>
        <v>0</v>
      </c>
      <c r="R26" s="124">
        <f t="shared" si="9"/>
        <v>0</v>
      </c>
      <c r="S26" s="124">
        <f t="shared" si="10"/>
        <v>0</v>
      </c>
      <c r="T26" s="124">
        <f t="shared" si="11"/>
        <v>0</v>
      </c>
      <c r="U26" s="124">
        <f t="shared" si="12"/>
        <v>0</v>
      </c>
      <c r="V26" s="124">
        <f t="shared" si="13"/>
        <v>0</v>
      </c>
      <c r="W26" s="124">
        <f t="shared" si="14"/>
        <v>0</v>
      </c>
      <c r="X26" s="124">
        <f t="shared" si="15"/>
        <v>0</v>
      </c>
      <c r="Y26" s="124">
        <f t="shared" si="16"/>
        <v>49.467961165048543</v>
      </c>
      <c r="Z26" s="124">
        <f t="shared" si="17"/>
        <v>0</v>
      </c>
      <c r="AA26" s="124">
        <f t="shared" si="18"/>
        <v>172.41909244650577</v>
      </c>
      <c r="AB26" s="124">
        <f t="shared" si="19"/>
        <v>0</v>
      </c>
      <c r="AC26" s="124">
        <f t="shared" si="20"/>
        <v>1.2599999999999967</v>
      </c>
      <c r="AD26" s="124">
        <f t="shared" si="21"/>
        <v>0</v>
      </c>
      <c r="AE26" s="127">
        <v>2473702.23</v>
      </c>
      <c r="AF26" s="63">
        <v>0</v>
      </c>
      <c r="AG26" s="130">
        <v>0</v>
      </c>
      <c r="AH26" s="130">
        <v>28323.360000000008</v>
      </c>
      <c r="AI26" s="130">
        <v>0</v>
      </c>
      <c r="AJ26" s="130">
        <v>62984.60639999999</v>
      </c>
      <c r="AK26" s="130">
        <v>0</v>
      </c>
      <c r="AL26" s="130">
        <v>7784.4272131715825</v>
      </c>
      <c r="AM26" s="130">
        <v>6293.7922149046826</v>
      </c>
      <c r="AN26" s="134">
        <v>1965.4298495667256</v>
      </c>
      <c r="AO26" s="64">
        <v>541.04529566724466</v>
      </c>
      <c r="AP26" s="64">
        <v>0</v>
      </c>
      <c r="AQ26" s="64">
        <v>0</v>
      </c>
      <c r="AR26" s="64">
        <v>0</v>
      </c>
      <c r="AS26" s="64">
        <v>0</v>
      </c>
      <c r="AT26" s="64">
        <v>0</v>
      </c>
      <c r="AU26" s="64">
        <v>0</v>
      </c>
      <c r="AV26" s="64">
        <v>0</v>
      </c>
      <c r="AW26" s="64">
        <v>0</v>
      </c>
      <c r="AX26" s="64">
        <v>32387.168854368934</v>
      </c>
      <c r="AY26" s="64">
        <v>0</v>
      </c>
      <c r="AZ26" s="64">
        <v>222924.09300593624</v>
      </c>
      <c r="BA26" s="64">
        <v>0</v>
      </c>
      <c r="BB26" s="64">
        <v>1337.9309999999964</v>
      </c>
      <c r="BC26" s="142">
        <v>0</v>
      </c>
      <c r="BD26" s="142">
        <v>0</v>
      </c>
      <c r="BE26" s="142">
        <v>159662.24</v>
      </c>
      <c r="BF26" s="142"/>
      <c r="BG26" s="142">
        <v>119479.25599999999</v>
      </c>
      <c r="BH26" s="142"/>
      <c r="BI26" s="134">
        <v>0</v>
      </c>
      <c r="BJ26" s="64"/>
      <c r="BK26" s="64"/>
      <c r="BL26" s="142">
        <v>2473702.23</v>
      </c>
      <c r="BM26" s="142">
        <v>364541.85383361543</v>
      </c>
      <c r="BN26" s="142">
        <v>279141.49199999997</v>
      </c>
      <c r="BO26" s="142">
        <v>340556.44345556968</v>
      </c>
      <c r="BP26" s="142">
        <v>3117385.5758336154</v>
      </c>
      <c r="BQ26" s="142">
        <v>3117385.5758336154</v>
      </c>
      <c r="BR26" s="142">
        <v>0</v>
      </c>
      <c r="BS26" s="142">
        <v>2838244.0838336153</v>
      </c>
      <c r="BT26" s="142">
        <v>4901.9759651703198</v>
      </c>
      <c r="BU26" s="142">
        <v>4807.3166793814426</v>
      </c>
      <c r="BV26" s="148">
        <v>1.9690669889685122E-2</v>
      </c>
      <c r="BW26" s="148">
        <v>0</v>
      </c>
      <c r="BX26" s="142">
        <v>0</v>
      </c>
      <c r="BY26" s="219">
        <v>3117385.5758336154</v>
      </c>
      <c r="BZ26" s="142">
        <v>741.12</v>
      </c>
      <c r="CA26" s="142">
        <v>6380.58</v>
      </c>
      <c r="CB26" s="188">
        <v>3110263.8758336152</v>
      </c>
      <c r="CC26" s="2"/>
      <c r="CD26" s="212">
        <f>IFERROR(VLOOKUP(B26,#REF!,29,0),0)</f>
        <v>0</v>
      </c>
      <c r="CE26" s="193">
        <f>IFERROR(VLOOKUP(B26,#REF!,28,0),0)</f>
        <v>0</v>
      </c>
      <c r="CF26" s="142"/>
      <c r="CG26" s="194"/>
      <c r="CH26" s="229">
        <v>66000</v>
      </c>
      <c r="CI26" s="229">
        <v>0</v>
      </c>
      <c r="CJ26" s="226">
        <v>210968</v>
      </c>
      <c r="CL26" s="401">
        <v>68080</v>
      </c>
      <c r="CM26" s="402">
        <v>14405</v>
      </c>
      <c r="CN26" s="402">
        <v>10120</v>
      </c>
      <c r="CO26" s="402">
        <v>8808</v>
      </c>
      <c r="CP26" s="402">
        <v>40014</v>
      </c>
      <c r="CQ26" s="402">
        <v>116040.59999999999</v>
      </c>
      <c r="CR26" s="402">
        <v>99020.4</v>
      </c>
      <c r="CS26" s="402">
        <v>11101.23</v>
      </c>
      <c r="CT26" s="206"/>
      <c r="CU26" s="195"/>
      <c r="CV26" s="2"/>
    </row>
    <row r="27" spans="1:100" ht="14" hidden="1" x14ac:dyDescent="0.25">
      <c r="A27" s="32">
        <v>3124014</v>
      </c>
      <c r="B27" s="184">
        <v>4014</v>
      </c>
      <c r="C27" s="179" t="s">
        <v>272</v>
      </c>
      <c r="D27" s="124">
        <v>168</v>
      </c>
      <c r="E27" s="124">
        <v>0</v>
      </c>
      <c r="F27" s="124">
        <v>168</v>
      </c>
      <c r="G27" s="124">
        <v>0</v>
      </c>
      <c r="H27" s="124">
        <v>168</v>
      </c>
      <c r="I27" s="124">
        <f t="shared" si="0"/>
        <v>0</v>
      </c>
      <c r="J27" s="124">
        <f t="shared" si="1"/>
        <v>53.999999999999929</v>
      </c>
      <c r="K27" s="124">
        <f t="shared" si="2"/>
        <v>0</v>
      </c>
      <c r="L27" s="124">
        <f t="shared" si="3"/>
        <v>53.999999999999936</v>
      </c>
      <c r="M27" s="124">
        <f t="shared" si="4"/>
        <v>0</v>
      </c>
      <c r="N27" s="124">
        <f t="shared" si="5"/>
        <v>0</v>
      </c>
      <c r="O27" s="124">
        <f t="shared" si="6"/>
        <v>0</v>
      </c>
      <c r="P27" s="124">
        <f t="shared" si="7"/>
        <v>0</v>
      </c>
      <c r="Q27" s="124">
        <f t="shared" si="8"/>
        <v>0</v>
      </c>
      <c r="R27" s="124">
        <f t="shared" si="9"/>
        <v>0</v>
      </c>
      <c r="S27" s="124">
        <f t="shared" si="10"/>
        <v>35.99999999999995</v>
      </c>
      <c r="T27" s="124">
        <f t="shared" si="11"/>
        <v>31.999999999999918</v>
      </c>
      <c r="U27" s="124">
        <f t="shared" si="12"/>
        <v>7.0000000000000044</v>
      </c>
      <c r="V27" s="124">
        <f t="shared" si="13"/>
        <v>3.9999999999999987</v>
      </c>
      <c r="W27" s="124">
        <f t="shared" si="14"/>
        <v>0.99999999999999978</v>
      </c>
      <c r="X27" s="124">
        <f t="shared" si="15"/>
        <v>0</v>
      </c>
      <c r="Y27" s="124">
        <f t="shared" si="16"/>
        <v>0</v>
      </c>
      <c r="Z27" s="124">
        <f t="shared" si="17"/>
        <v>2.0119808626975595</v>
      </c>
      <c r="AA27" s="124">
        <f t="shared" si="18"/>
        <v>0</v>
      </c>
      <c r="AB27" s="124">
        <f t="shared" si="19"/>
        <v>13.664569552941195</v>
      </c>
      <c r="AC27" s="124">
        <f t="shared" si="20"/>
        <v>0</v>
      </c>
      <c r="AD27" s="124">
        <f t="shared" si="21"/>
        <v>0</v>
      </c>
      <c r="AE27" s="127">
        <v>0</v>
      </c>
      <c r="AF27" s="63">
        <v>0</v>
      </c>
      <c r="AG27" s="130">
        <v>1107120</v>
      </c>
      <c r="AH27" s="130">
        <v>0</v>
      </c>
      <c r="AI27" s="130">
        <v>29412.719999999958</v>
      </c>
      <c r="AJ27" s="130">
        <v>0</v>
      </c>
      <c r="AK27" s="130">
        <v>92397.229199999885</v>
      </c>
      <c r="AL27" s="130">
        <v>0</v>
      </c>
      <c r="AM27" s="130">
        <v>0</v>
      </c>
      <c r="AN27" s="134">
        <v>0</v>
      </c>
      <c r="AO27" s="64">
        <v>0</v>
      </c>
      <c r="AP27" s="64">
        <v>0</v>
      </c>
      <c r="AQ27" s="64">
        <v>0</v>
      </c>
      <c r="AR27" s="64">
        <v>13468.406399999982</v>
      </c>
      <c r="AS27" s="64">
        <v>15845.183999999959</v>
      </c>
      <c r="AT27" s="64">
        <v>4891.1002000000035</v>
      </c>
      <c r="AU27" s="64">
        <v>3059.0007999999989</v>
      </c>
      <c r="AV27" s="64">
        <v>819.76819999999975</v>
      </c>
      <c r="AW27" s="64">
        <v>0</v>
      </c>
      <c r="AX27" s="64">
        <v>0</v>
      </c>
      <c r="AY27" s="64">
        <v>3531.1672526946058</v>
      </c>
      <c r="AZ27" s="64">
        <v>0</v>
      </c>
      <c r="BA27" s="64">
        <v>26839.12764171392</v>
      </c>
      <c r="BB27" s="64">
        <v>0</v>
      </c>
      <c r="BC27" s="142">
        <v>0</v>
      </c>
      <c r="BD27" s="142">
        <v>0</v>
      </c>
      <c r="BE27" s="142">
        <v>159662.24</v>
      </c>
      <c r="BF27" s="142"/>
      <c r="BG27" s="142">
        <v>47804.639999999999</v>
      </c>
      <c r="BH27" s="142"/>
      <c r="BI27" s="134">
        <v>0</v>
      </c>
      <c r="BJ27" s="64"/>
      <c r="BK27" s="64"/>
      <c r="BL27" s="142">
        <v>1107120</v>
      </c>
      <c r="BM27" s="142">
        <v>190263.70369440832</v>
      </c>
      <c r="BN27" s="142">
        <v>207466.87599999999</v>
      </c>
      <c r="BO27" s="142">
        <v>94121.483357788209</v>
      </c>
      <c r="BP27" s="142">
        <v>1504850.5796944082</v>
      </c>
      <c r="BQ27" s="142">
        <v>0</v>
      </c>
      <c r="BR27" s="142">
        <v>1504850.5796944085</v>
      </c>
      <c r="BS27" s="142">
        <v>1297383.7036944083</v>
      </c>
      <c r="BT27" s="142">
        <v>7722.5220458000495</v>
      </c>
      <c r="BU27" s="142">
        <v>7984.6311500000011</v>
      </c>
      <c r="BV27" s="148">
        <v>-3.2826701606617305E-2</v>
      </c>
      <c r="BW27" s="148">
        <v>3.2826701606617305E-2</v>
      </c>
      <c r="BX27" s="142">
        <v>44034.329505591872</v>
      </c>
      <c r="BY27" s="219">
        <v>1548884.9092000001</v>
      </c>
      <c r="BZ27" s="142">
        <v>0</v>
      </c>
      <c r="CA27" s="142">
        <v>0</v>
      </c>
      <c r="CB27" s="188">
        <v>1548884.9092000001</v>
      </c>
      <c r="CC27" s="2"/>
      <c r="CD27" s="212">
        <f>IFERROR(VLOOKUP(B27,#REF!,29,0),0)</f>
        <v>0</v>
      </c>
      <c r="CE27" s="193">
        <f>IFERROR(VLOOKUP(B27,#REF!,28,0),0)</f>
        <v>0</v>
      </c>
      <c r="CF27" s="142"/>
      <c r="CG27" s="194"/>
      <c r="CH27" s="229">
        <v>0</v>
      </c>
      <c r="CI27" s="229">
        <v>0</v>
      </c>
      <c r="CJ27" s="226">
        <v>0</v>
      </c>
      <c r="CL27" s="401">
        <v>0</v>
      </c>
      <c r="CM27" s="402">
        <v>0</v>
      </c>
      <c r="CN27" s="402">
        <v>0</v>
      </c>
      <c r="CO27" s="402">
        <v>0</v>
      </c>
      <c r="CP27" s="402">
        <v>0</v>
      </c>
      <c r="CQ27" s="402">
        <v>0</v>
      </c>
      <c r="CR27" s="402">
        <v>0</v>
      </c>
      <c r="CS27" s="402">
        <v>0</v>
      </c>
      <c r="CT27" s="206"/>
      <c r="CU27" s="195"/>
      <c r="CV27" s="2"/>
    </row>
    <row r="28" spans="1:100" ht="14" x14ac:dyDescent="0.25">
      <c r="A28" s="32">
        <v>3125203</v>
      </c>
      <c r="B28" s="184">
        <v>5203</v>
      </c>
      <c r="C28" s="179" t="s">
        <v>273</v>
      </c>
      <c r="D28" s="124">
        <v>245</v>
      </c>
      <c r="E28" s="124">
        <v>245</v>
      </c>
      <c r="F28" s="124">
        <v>0</v>
      </c>
      <c r="G28" s="124">
        <v>0</v>
      </c>
      <c r="H28" s="124">
        <v>0</v>
      </c>
      <c r="I28" s="124">
        <f t="shared" si="0"/>
        <v>40.000000000000007</v>
      </c>
      <c r="J28" s="124">
        <f t="shared" si="1"/>
        <v>0</v>
      </c>
      <c r="K28" s="124">
        <f t="shared" si="2"/>
        <v>40.000000000000007</v>
      </c>
      <c r="L28" s="124">
        <f t="shared" si="3"/>
        <v>0</v>
      </c>
      <c r="M28" s="124">
        <f t="shared" si="4"/>
        <v>54.999999999999915</v>
      </c>
      <c r="N28" s="124">
        <f t="shared" si="5"/>
        <v>24.000000000000004</v>
      </c>
      <c r="O28" s="124">
        <f t="shared" si="6"/>
        <v>3.0000000000000067</v>
      </c>
      <c r="P28" s="124">
        <f t="shared" si="7"/>
        <v>0</v>
      </c>
      <c r="Q28" s="124">
        <f t="shared" si="8"/>
        <v>3.0000000000000067</v>
      </c>
      <c r="R28" s="124">
        <f t="shared" si="9"/>
        <v>0</v>
      </c>
      <c r="S28" s="124">
        <f t="shared" si="10"/>
        <v>0</v>
      </c>
      <c r="T28" s="124">
        <f t="shared" si="11"/>
        <v>0</v>
      </c>
      <c r="U28" s="124">
        <f t="shared" si="12"/>
        <v>0</v>
      </c>
      <c r="V28" s="124">
        <f t="shared" si="13"/>
        <v>0</v>
      </c>
      <c r="W28" s="124">
        <f t="shared" si="14"/>
        <v>0</v>
      </c>
      <c r="X28" s="124">
        <f t="shared" si="15"/>
        <v>0</v>
      </c>
      <c r="Y28" s="124">
        <f t="shared" si="16"/>
        <v>181.8711656441717</v>
      </c>
      <c r="Z28" s="124">
        <f t="shared" si="17"/>
        <v>0</v>
      </c>
      <c r="AA28" s="124">
        <f t="shared" si="18"/>
        <v>112.95480754627286</v>
      </c>
      <c r="AB28" s="124">
        <f t="shared" si="19"/>
        <v>0</v>
      </c>
      <c r="AC28" s="124">
        <f t="shared" si="20"/>
        <v>0</v>
      </c>
      <c r="AD28" s="124">
        <f t="shared" si="21"/>
        <v>0</v>
      </c>
      <c r="AE28" s="127">
        <v>1046730.65</v>
      </c>
      <c r="AF28" s="63">
        <v>0</v>
      </c>
      <c r="AG28" s="130">
        <v>0</v>
      </c>
      <c r="AH28" s="130">
        <v>21787.200000000001</v>
      </c>
      <c r="AI28" s="130">
        <v>0</v>
      </c>
      <c r="AJ28" s="130">
        <v>46655.264000000003</v>
      </c>
      <c r="AK28" s="130">
        <v>0</v>
      </c>
      <c r="AL28" s="130">
        <v>14222.152999999978</v>
      </c>
      <c r="AM28" s="130">
        <v>7526.4624000000013</v>
      </c>
      <c r="AN28" s="134">
        <v>1468.9806000000033</v>
      </c>
      <c r="AO28" s="64">
        <v>0</v>
      </c>
      <c r="AP28" s="64">
        <v>1716.5616000000036</v>
      </c>
      <c r="AQ28" s="64">
        <v>0</v>
      </c>
      <c r="AR28" s="64">
        <v>0</v>
      </c>
      <c r="AS28" s="64">
        <v>0</v>
      </c>
      <c r="AT28" s="64">
        <v>0</v>
      </c>
      <c r="AU28" s="64">
        <v>0</v>
      </c>
      <c r="AV28" s="64">
        <v>0</v>
      </c>
      <c r="AW28" s="64">
        <v>0</v>
      </c>
      <c r="AX28" s="64">
        <v>119072.87085889567</v>
      </c>
      <c r="AY28" s="64">
        <v>0</v>
      </c>
      <c r="AZ28" s="64">
        <v>146041.52977272711</v>
      </c>
      <c r="BA28" s="64">
        <v>0</v>
      </c>
      <c r="BB28" s="64">
        <v>0</v>
      </c>
      <c r="BC28" s="142">
        <v>0</v>
      </c>
      <c r="BD28" s="142">
        <v>0</v>
      </c>
      <c r="BE28" s="142">
        <v>159662.24</v>
      </c>
      <c r="BF28" s="142"/>
      <c r="BG28" s="142">
        <v>6528.7039999999997</v>
      </c>
      <c r="BH28" s="142"/>
      <c r="BI28" s="134">
        <v>0</v>
      </c>
      <c r="BJ28" s="64"/>
      <c r="BK28" s="64"/>
      <c r="BL28" s="142">
        <v>1046730.65</v>
      </c>
      <c r="BM28" s="142">
        <v>358491.02223162277</v>
      </c>
      <c r="BN28" s="142">
        <v>166190.94</v>
      </c>
      <c r="BO28" s="142">
        <v>213084.08383836347</v>
      </c>
      <c r="BP28" s="142">
        <v>1571412.6122316227</v>
      </c>
      <c r="BQ28" s="142">
        <v>1571412.6122316225</v>
      </c>
      <c r="BR28" s="142">
        <v>0</v>
      </c>
      <c r="BS28" s="142">
        <v>1405221.6722316227</v>
      </c>
      <c r="BT28" s="142">
        <v>5735.5986621698885</v>
      </c>
      <c r="BU28" s="142">
        <v>5604.3567295275589</v>
      </c>
      <c r="BV28" s="148">
        <v>2.3417840615116085E-2</v>
      </c>
      <c r="BW28" s="148">
        <v>0</v>
      </c>
      <c r="BX28" s="142">
        <v>0</v>
      </c>
      <c r="BY28" s="219">
        <v>1571412.6122316227</v>
      </c>
      <c r="BZ28" s="142">
        <v>313.60000000000002</v>
      </c>
      <c r="CA28" s="142">
        <v>2699.9</v>
      </c>
      <c r="CB28" s="188">
        <v>1568399.1122316227</v>
      </c>
      <c r="CC28" s="2"/>
      <c r="CD28" s="212">
        <f>IFERROR(VLOOKUP(B28,#REF!,29,0),0)</f>
        <v>0</v>
      </c>
      <c r="CE28" s="193">
        <f>IFERROR(VLOOKUP(B28,#REF!,28,0),0)</f>
        <v>0</v>
      </c>
      <c r="CF28" s="142"/>
      <c r="CG28" s="194"/>
      <c r="CH28" s="229">
        <v>0</v>
      </c>
      <c r="CI28" s="229">
        <v>0</v>
      </c>
      <c r="CJ28" s="226">
        <v>80000</v>
      </c>
      <c r="CL28" s="401">
        <v>54760</v>
      </c>
      <c r="CM28" s="402" t="s">
        <v>266</v>
      </c>
      <c r="CN28" s="402" t="s">
        <v>266</v>
      </c>
      <c r="CO28" s="402">
        <v>7396</v>
      </c>
      <c r="CP28" s="402">
        <v>0</v>
      </c>
      <c r="CQ28" s="402">
        <v>0</v>
      </c>
      <c r="CR28" s="402">
        <v>99020.4</v>
      </c>
      <c r="CS28" s="402">
        <v>7534.75</v>
      </c>
      <c r="CT28" s="206"/>
      <c r="CU28" s="195"/>
      <c r="CV28" s="2"/>
    </row>
    <row r="29" spans="1:100" ht="14" x14ac:dyDescent="0.25">
      <c r="A29" s="32">
        <v>3125202</v>
      </c>
      <c r="B29" s="184">
        <v>5202</v>
      </c>
      <c r="C29" s="181" t="s">
        <v>81</v>
      </c>
      <c r="D29" s="124">
        <v>369</v>
      </c>
      <c r="E29" s="124">
        <v>369</v>
      </c>
      <c r="F29" s="124">
        <v>0</v>
      </c>
      <c r="G29" s="124">
        <v>0</v>
      </c>
      <c r="H29" s="124">
        <v>0</v>
      </c>
      <c r="I29" s="124">
        <f t="shared" si="0"/>
        <v>73.999999999999915</v>
      </c>
      <c r="J29" s="124">
        <f t="shared" si="1"/>
        <v>0</v>
      </c>
      <c r="K29" s="124">
        <f t="shared" si="2"/>
        <v>82.999999999999915</v>
      </c>
      <c r="L29" s="124">
        <f t="shared" si="3"/>
        <v>0</v>
      </c>
      <c r="M29" s="124">
        <f t="shared" si="4"/>
        <v>102.9999999999999</v>
      </c>
      <c r="N29" s="124">
        <f t="shared" si="5"/>
        <v>34</v>
      </c>
      <c r="O29" s="124">
        <f t="shared" si="6"/>
        <v>12.999999999999986</v>
      </c>
      <c r="P29" s="124">
        <f t="shared" si="7"/>
        <v>0</v>
      </c>
      <c r="Q29" s="124">
        <f t="shared" si="8"/>
        <v>0.999999999999999</v>
      </c>
      <c r="R29" s="124">
        <f t="shared" si="9"/>
        <v>0</v>
      </c>
      <c r="S29" s="124">
        <f t="shared" si="10"/>
        <v>0</v>
      </c>
      <c r="T29" s="124">
        <f t="shared" si="11"/>
        <v>0</v>
      </c>
      <c r="U29" s="124">
        <f t="shared" si="12"/>
        <v>0</v>
      </c>
      <c r="V29" s="124">
        <f t="shared" si="13"/>
        <v>0</v>
      </c>
      <c r="W29" s="124">
        <f t="shared" si="14"/>
        <v>0</v>
      </c>
      <c r="X29" s="124">
        <f t="shared" si="15"/>
        <v>0</v>
      </c>
      <c r="Y29" s="124">
        <f t="shared" si="16"/>
        <v>101.82786885245883</v>
      </c>
      <c r="Z29" s="124">
        <f t="shared" si="17"/>
        <v>0</v>
      </c>
      <c r="AA29" s="124">
        <f t="shared" si="18"/>
        <v>106.32261425573715</v>
      </c>
      <c r="AB29" s="124">
        <f t="shared" si="19"/>
        <v>0</v>
      </c>
      <c r="AC29" s="124">
        <f t="shared" si="20"/>
        <v>0</v>
      </c>
      <c r="AD29" s="124">
        <f t="shared" si="21"/>
        <v>0</v>
      </c>
      <c r="AE29" s="127">
        <v>1576504.53</v>
      </c>
      <c r="AF29" s="63">
        <v>0</v>
      </c>
      <c r="AG29" s="130">
        <v>0</v>
      </c>
      <c r="AH29" s="130">
        <v>40306.319999999949</v>
      </c>
      <c r="AI29" s="130">
        <v>0</v>
      </c>
      <c r="AJ29" s="130">
        <v>96809.672799999898</v>
      </c>
      <c r="AK29" s="130">
        <v>0</v>
      </c>
      <c r="AL29" s="130">
        <v>26634.213799999976</v>
      </c>
      <c r="AM29" s="130">
        <v>10662.4884</v>
      </c>
      <c r="AN29" s="134">
        <v>6365.5825999999925</v>
      </c>
      <c r="AO29" s="64">
        <v>0</v>
      </c>
      <c r="AP29" s="64">
        <v>572.18719999999939</v>
      </c>
      <c r="AQ29" s="64">
        <v>0</v>
      </c>
      <c r="AR29" s="64">
        <v>0</v>
      </c>
      <c r="AS29" s="64">
        <v>0</v>
      </c>
      <c r="AT29" s="64">
        <v>0</v>
      </c>
      <c r="AU29" s="64">
        <v>0</v>
      </c>
      <c r="AV29" s="64">
        <v>0</v>
      </c>
      <c r="AW29" s="64">
        <v>0</v>
      </c>
      <c r="AX29" s="64">
        <v>66667.724016393331</v>
      </c>
      <c r="AY29" s="64">
        <v>0</v>
      </c>
      <c r="AZ29" s="64">
        <v>137466.63442352769</v>
      </c>
      <c r="BA29" s="64">
        <v>0</v>
      </c>
      <c r="BB29" s="64">
        <v>0</v>
      </c>
      <c r="BC29" s="142">
        <v>0</v>
      </c>
      <c r="BD29" s="142">
        <v>0</v>
      </c>
      <c r="BE29" s="142">
        <v>159662.24</v>
      </c>
      <c r="BF29" s="142"/>
      <c r="BG29" s="142">
        <v>6528.7039999999997</v>
      </c>
      <c r="BH29" s="142"/>
      <c r="BI29" s="134">
        <v>0</v>
      </c>
      <c r="BJ29" s="64"/>
      <c r="BK29" s="64"/>
      <c r="BL29" s="142">
        <v>1576504.53</v>
      </c>
      <c r="BM29" s="142">
        <v>385484.82323992078</v>
      </c>
      <c r="BN29" s="142">
        <v>166190.94</v>
      </c>
      <c r="BO29" s="142">
        <v>255350.16733011595</v>
      </c>
      <c r="BP29" s="142">
        <v>2128180.2932399209</v>
      </c>
      <c r="BQ29" s="142">
        <v>2128180.2932399209</v>
      </c>
      <c r="BR29" s="142">
        <v>0</v>
      </c>
      <c r="BS29" s="142">
        <v>1961989.3532399209</v>
      </c>
      <c r="BT29" s="142">
        <v>5317.0443177233628</v>
      </c>
      <c r="BU29" s="142">
        <v>5423.6788957894732</v>
      </c>
      <c r="BV29" s="148">
        <v>-1.9660931282066363E-2</v>
      </c>
      <c r="BW29" s="148">
        <v>1.9660931282066363E-2</v>
      </c>
      <c r="BX29" s="142">
        <v>39348.159306394737</v>
      </c>
      <c r="BY29" s="219">
        <v>2167528.4525463157</v>
      </c>
      <c r="BZ29" s="142">
        <v>472.32</v>
      </c>
      <c r="CA29" s="142">
        <v>4066.3799999999997</v>
      </c>
      <c r="CB29" s="188">
        <v>2162989.7525463155</v>
      </c>
      <c r="CC29" s="2"/>
      <c r="CD29" s="212">
        <f>IFERROR(VLOOKUP(B29,#REF!,29,0),0)</f>
        <v>0</v>
      </c>
      <c r="CE29" s="193">
        <f>IFERROR(VLOOKUP(B29,#REF!,28,0),0)</f>
        <v>0</v>
      </c>
      <c r="CF29" s="142"/>
      <c r="CG29" s="194"/>
      <c r="CH29" s="229">
        <v>0</v>
      </c>
      <c r="CI29" s="229">
        <v>0</v>
      </c>
      <c r="CJ29" s="226">
        <v>33500</v>
      </c>
      <c r="CL29" s="401">
        <v>125800</v>
      </c>
      <c r="CM29" s="402" t="s">
        <v>266</v>
      </c>
      <c r="CN29" s="402">
        <v>5060</v>
      </c>
      <c r="CO29" s="402">
        <v>8358</v>
      </c>
      <c r="CP29" s="402">
        <v>38988</v>
      </c>
      <c r="CQ29" s="402">
        <v>113065.20000000001</v>
      </c>
      <c r="CR29" s="402">
        <v>0</v>
      </c>
      <c r="CS29" s="402">
        <v>8567.5</v>
      </c>
      <c r="CT29" s="206"/>
      <c r="CU29" s="195"/>
      <c r="CV29" s="2"/>
    </row>
    <row r="30" spans="1:100" ht="14" hidden="1" x14ac:dyDescent="0.25">
      <c r="A30" s="32">
        <v>3124654</v>
      </c>
      <c r="B30" s="184">
        <v>4654</v>
      </c>
      <c r="C30" s="179" t="s">
        <v>83</v>
      </c>
      <c r="D30" s="124">
        <v>1400</v>
      </c>
      <c r="E30" s="124">
        <v>416</v>
      </c>
      <c r="F30" s="124">
        <v>984</v>
      </c>
      <c r="G30" s="124">
        <v>595</v>
      </c>
      <c r="H30" s="124">
        <v>389</v>
      </c>
      <c r="I30" s="124">
        <f t="shared" si="0"/>
        <v>37.999999999999979</v>
      </c>
      <c r="J30" s="124">
        <f t="shared" si="1"/>
        <v>177.99999999999957</v>
      </c>
      <c r="K30" s="124">
        <f t="shared" si="2"/>
        <v>37.999999999999979</v>
      </c>
      <c r="L30" s="124">
        <f t="shared" si="3"/>
        <v>193.99999999999955</v>
      </c>
      <c r="M30" s="124">
        <f t="shared" si="4"/>
        <v>132.9999999999998</v>
      </c>
      <c r="N30" s="124">
        <f t="shared" si="5"/>
        <v>54.999999999999801</v>
      </c>
      <c r="O30" s="124">
        <f t="shared" si="6"/>
        <v>11.000000000000004</v>
      </c>
      <c r="P30" s="124">
        <f t="shared" si="7"/>
        <v>4.0000000000000018</v>
      </c>
      <c r="Q30" s="124">
        <f t="shared" si="8"/>
        <v>13</v>
      </c>
      <c r="R30" s="124">
        <f t="shared" si="9"/>
        <v>0</v>
      </c>
      <c r="S30" s="124">
        <f t="shared" si="10"/>
        <v>277.99999999999994</v>
      </c>
      <c r="T30" s="124">
        <f t="shared" si="11"/>
        <v>185.00000000000017</v>
      </c>
      <c r="U30" s="124">
        <f t="shared" si="12"/>
        <v>11.999999999999991</v>
      </c>
      <c r="V30" s="124">
        <f t="shared" si="13"/>
        <v>11.999999999999991</v>
      </c>
      <c r="W30" s="124">
        <f t="shared" si="14"/>
        <v>22.000000000000028</v>
      </c>
      <c r="X30" s="124">
        <f t="shared" si="15"/>
        <v>0</v>
      </c>
      <c r="Y30" s="124">
        <f t="shared" si="16"/>
        <v>137.11731843575419</v>
      </c>
      <c r="Z30" s="124">
        <f t="shared" si="17"/>
        <v>35.000083757343006</v>
      </c>
      <c r="AA30" s="124">
        <f t="shared" si="18"/>
        <v>105.43603521620231</v>
      </c>
      <c r="AB30" s="124">
        <f t="shared" si="19"/>
        <v>174.05147691938342</v>
      </c>
      <c r="AC30" s="124">
        <f t="shared" si="20"/>
        <v>0</v>
      </c>
      <c r="AD30" s="124">
        <f t="shared" si="21"/>
        <v>0</v>
      </c>
      <c r="AE30" s="127">
        <v>1777305.92</v>
      </c>
      <c r="AF30" s="63">
        <v>3478370</v>
      </c>
      <c r="AG30" s="130">
        <v>2563510</v>
      </c>
      <c r="AH30" s="130">
        <v>20697.839999999986</v>
      </c>
      <c r="AI30" s="130">
        <v>96953.039999999761</v>
      </c>
      <c r="AJ30" s="130">
        <v>44322.500799999973</v>
      </c>
      <c r="AK30" s="130">
        <v>331945.60119999922</v>
      </c>
      <c r="AL30" s="130">
        <v>34391.751799999955</v>
      </c>
      <c r="AM30" s="130">
        <v>17248.142999999938</v>
      </c>
      <c r="AN30" s="134">
        <v>5386.262200000001</v>
      </c>
      <c r="AO30" s="64">
        <v>2156.7056000000007</v>
      </c>
      <c r="AP30" s="64">
        <v>7438.4335999999994</v>
      </c>
      <c r="AQ30" s="64">
        <v>0</v>
      </c>
      <c r="AR30" s="64">
        <v>104006.02719999998</v>
      </c>
      <c r="AS30" s="64">
        <v>91604.970000000074</v>
      </c>
      <c r="AT30" s="64">
        <v>8384.7431999999935</v>
      </c>
      <c r="AU30" s="64">
        <v>9177.0023999999921</v>
      </c>
      <c r="AV30" s="64">
        <v>18034.900400000024</v>
      </c>
      <c r="AW30" s="64">
        <v>0</v>
      </c>
      <c r="AX30" s="64">
        <v>89772.079553072632</v>
      </c>
      <c r="AY30" s="64">
        <v>61427.596999999987</v>
      </c>
      <c r="AZ30" s="64">
        <v>136320.3586517323</v>
      </c>
      <c r="BA30" s="64">
        <v>341861.46787643776</v>
      </c>
      <c r="BB30" s="64">
        <v>0</v>
      </c>
      <c r="BC30" s="142">
        <v>0</v>
      </c>
      <c r="BD30" s="142">
        <v>0</v>
      </c>
      <c r="BE30" s="142"/>
      <c r="BF30" s="142">
        <v>159662.24</v>
      </c>
      <c r="BG30" s="142">
        <v>94436.160000000003</v>
      </c>
      <c r="BH30" s="142"/>
      <c r="BI30" s="134">
        <v>0</v>
      </c>
      <c r="BJ30" s="64"/>
      <c r="BK30" s="64"/>
      <c r="BL30" s="142">
        <v>7819185.9199999999</v>
      </c>
      <c r="BM30" s="142">
        <v>1421129.4244812415</v>
      </c>
      <c r="BN30" s="142">
        <v>254098.39600000001</v>
      </c>
      <c r="BO30" s="142">
        <v>851946.58675454278</v>
      </c>
      <c r="BP30" s="142">
        <v>9494413.7404812407</v>
      </c>
      <c r="BQ30" s="142">
        <v>2210543.5185876619</v>
      </c>
      <c r="BR30" s="142">
        <v>7283870.2218935806</v>
      </c>
      <c r="BS30" s="142">
        <v>9240315.344481241</v>
      </c>
      <c r="BT30" s="142">
        <v>6600.2252460580294</v>
      </c>
      <c r="BU30" s="142">
        <v>6482.0100246525244</v>
      </c>
      <c r="BV30" s="148">
        <v>1.8237432672258483E-2</v>
      </c>
      <c r="BW30" s="148">
        <v>0</v>
      </c>
      <c r="BX30" s="142">
        <v>0</v>
      </c>
      <c r="BY30" s="219">
        <v>9494413.7404812407</v>
      </c>
      <c r="BZ30" s="142">
        <v>0</v>
      </c>
      <c r="CA30" s="142">
        <v>0</v>
      </c>
      <c r="CB30" s="188">
        <v>9494413.7404812407</v>
      </c>
      <c r="CC30" s="2"/>
      <c r="CD30" s="212">
        <f>IFERROR(VLOOKUP(B30,#REF!,29,0),0)</f>
        <v>0</v>
      </c>
      <c r="CE30" s="193">
        <f>IFERROR(VLOOKUP(B30,#REF!,28,0),0)</f>
        <v>0</v>
      </c>
      <c r="CF30" s="142">
        <v>71639.375</v>
      </c>
      <c r="CG30" s="194"/>
      <c r="CH30" s="229">
        <v>0</v>
      </c>
      <c r="CI30" s="229">
        <v>0</v>
      </c>
      <c r="CJ30" s="226">
        <v>242653</v>
      </c>
      <c r="CL30" s="401">
        <v>0</v>
      </c>
      <c r="CM30" s="402">
        <v>0</v>
      </c>
      <c r="CN30" s="402">
        <v>0</v>
      </c>
      <c r="CO30" s="402">
        <v>0</v>
      </c>
      <c r="CP30" s="402">
        <v>27189</v>
      </c>
      <c r="CQ30" s="402">
        <v>78848.100000000006</v>
      </c>
      <c r="CR30" s="402">
        <v>0</v>
      </c>
      <c r="CS30" s="402">
        <v>0</v>
      </c>
      <c r="CT30" s="206"/>
      <c r="CU30" s="195"/>
      <c r="CV30" s="2"/>
    </row>
    <row r="31" spans="1:100" ht="14" x14ac:dyDescent="0.25">
      <c r="A31" s="32">
        <v>3122024</v>
      </c>
      <c r="B31" s="184">
        <v>2024</v>
      </c>
      <c r="C31" s="179" t="s">
        <v>85</v>
      </c>
      <c r="D31" s="124">
        <v>134</v>
      </c>
      <c r="E31" s="124">
        <v>134</v>
      </c>
      <c r="F31" s="124">
        <v>0</v>
      </c>
      <c r="G31" s="124">
        <v>0</v>
      </c>
      <c r="H31" s="124">
        <v>0</v>
      </c>
      <c r="I31" s="124">
        <f t="shared" si="0"/>
        <v>17.999999999999972</v>
      </c>
      <c r="J31" s="124">
        <f t="shared" si="1"/>
        <v>0</v>
      </c>
      <c r="K31" s="124">
        <f t="shared" si="2"/>
        <v>17.999999999999972</v>
      </c>
      <c r="L31" s="124">
        <f t="shared" si="3"/>
        <v>0</v>
      </c>
      <c r="M31" s="124">
        <f t="shared" si="4"/>
        <v>61.999999999999986</v>
      </c>
      <c r="N31" s="124">
        <f t="shared" si="5"/>
        <v>22.999999999999986</v>
      </c>
      <c r="O31" s="124">
        <f t="shared" si="6"/>
        <v>1</v>
      </c>
      <c r="P31" s="124">
        <f t="shared" si="7"/>
        <v>0</v>
      </c>
      <c r="Q31" s="124">
        <f t="shared" si="8"/>
        <v>0</v>
      </c>
      <c r="R31" s="124">
        <f t="shared" si="9"/>
        <v>0</v>
      </c>
      <c r="S31" s="124">
        <f t="shared" si="10"/>
        <v>0</v>
      </c>
      <c r="T31" s="124">
        <f t="shared" si="11"/>
        <v>0</v>
      </c>
      <c r="U31" s="124">
        <f t="shared" si="12"/>
        <v>0</v>
      </c>
      <c r="V31" s="124">
        <f t="shared" si="13"/>
        <v>0</v>
      </c>
      <c r="W31" s="124">
        <f t="shared" si="14"/>
        <v>0</v>
      </c>
      <c r="X31" s="124">
        <f t="shared" si="15"/>
        <v>0</v>
      </c>
      <c r="Y31" s="124">
        <f t="shared" si="16"/>
        <v>19.541666666666622</v>
      </c>
      <c r="Z31" s="124">
        <f t="shared" si="17"/>
        <v>0</v>
      </c>
      <c r="AA31" s="124">
        <f t="shared" si="18"/>
        <v>36.673769305545832</v>
      </c>
      <c r="AB31" s="124">
        <f t="shared" si="19"/>
        <v>0</v>
      </c>
      <c r="AC31" s="124">
        <f t="shared" si="20"/>
        <v>0</v>
      </c>
      <c r="AD31" s="124">
        <f t="shared" si="21"/>
        <v>0</v>
      </c>
      <c r="AE31" s="127">
        <v>572497.57999999996</v>
      </c>
      <c r="AF31" s="63">
        <v>0</v>
      </c>
      <c r="AG31" s="130">
        <v>0</v>
      </c>
      <c r="AH31" s="130">
        <v>9804.2399999999834</v>
      </c>
      <c r="AI31" s="130">
        <v>0</v>
      </c>
      <c r="AJ31" s="130">
        <v>20994.868799999967</v>
      </c>
      <c r="AK31" s="130">
        <v>0</v>
      </c>
      <c r="AL31" s="130">
        <v>16032.245199999998</v>
      </c>
      <c r="AM31" s="130">
        <v>7212.8597999999956</v>
      </c>
      <c r="AN31" s="134">
        <v>489.66019999999997</v>
      </c>
      <c r="AO31" s="64">
        <v>0</v>
      </c>
      <c r="AP31" s="64">
        <v>0</v>
      </c>
      <c r="AQ31" s="64">
        <v>0</v>
      </c>
      <c r="AR31" s="64">
        <v>0</v>
      </c>
      <c r="AS31" s="64">
        <v>0</v>
      </c>
      <c r="AT31" s="64">
        <v>0</v>
      </c>
      <c r="AU31" s="64">
        <v>0</v>
      </c>
      <c r="AV31" s="64">
        <v>0</v>
      </c>
      <c r="AW31" s="64">
        <v>0</v>
      </c>
      <c r="AX31" s="64">
        <v>12794.124583333305</v>
      </c>
      <c r="AY31" s="64">
        <v>0</v>
      </c>
      <c r="AZ31" s="64">
        <v>47416.249810526322</v>
      </c>
      <c r="BA31" s="64">
        <v>0</v>
      </c>
      <c r="BB31" s="64">
        <v>0</v>
      </c>
      <c r="BC31" s="142">
        <v>0</v>
      </c>
      <c r="BD31" s="142">
        <v>0</v>
      </c>
      <c r="BE31" s="142">
        <v>159662.24</v>
      </c>
      <c r="BF31" s="142"/>
      <c r="BG31" s="142">
        <v>27700.438999999998</v>
      </c>
      <c r="BH31" s="142"/>
      <c r="BI31" s="134">
        <v>0</v>
      </c>
      <c r="BJ31" s="64"/>
      <c r="BK31" s="64"/>
      <c r="BL31" s="142">
        <v>572497.57999999996</v>
      </c>
      <c r="BM31" s="142">
        <v>114744.24839385957</v>
      </c>
      <c r="BN31" s="142">
        <v>187362.67499999999</v>
      </c>
      <c r="BO31" s="142">
        <v>91217.025733894712</v>
      </c>
      <c r="BP31" s="142">
        <v>874604.5033938596</v>
      </c>
      <c r="BQ31" s="142">
        <v>874604.5033938596</v>
      </c>
      <c r="BR31" s="142">
        <v>0</v>
      </c>
      <c r="BS31" s="142">
        <v>687241.82839385956</v>
      </c>
      <c r="BT31" s="142">
        <v>5128.6703611482053</v>
      </c>
      <c r="BU31" s="142">
        <v>5334.2602965034966</v>
      </c>
      <c r="BV31" s="148">
        <v>-3.8541414165718824E-2</v>
      </c>
      <c r="BW31" s="148">
        <v>3.8541414165718824E-2</v>
      </c>
      <c r="BX31" s="142">
        <v>27549.051337609038</v>
      </c>
      <c r="BY31" s="219">
        <v>902153.55473146867</v>
      </c>
      <c r="BZ31" s="142">
        <v>171.52</v>
      </c>
      <c r="CA31" s="142">
        <v>1476.6799999999998</v>
      </c>
      <c r="CB31" s="188">
        <v>900505.35473146872</v>
      </c>
      <c r="CC31" s="2"/>
      <c r="CD31" s="212">
        <f>IFERROR(VLOOKUP(B31,#REF!,29,0),0)</f>
        <v>0</v>
      </c>
      <c r="CE31" s="193">
        <f>IFERROR(VLOOKUP(B31,#REF!,28,0),0)</f>
        <v>0</v>
      </c>
      <c r="CF31" s="142"/>
      <c r="CG31" s="194"/>
      <c r="CH31" s="229">
        <v>0</v>
      </c>
      <c r="CI31" s="229">
        <v>0</v>
      </c>
      <c r="CJ31" s="226">
        <v>38367</v>
      </c>
      <c r="CL31" s="401">
        <v>34040</v>
      </c>
      <c r="CM31" s="402" t="s">
        <v>266</v>
      </c>
      <c r="CN31" s="402" t="s">
        <v>266</v>
      </c>
      <c r="CO31" s="402">
        <v>7108</v>
      </c>
      <c r="CP31" s="402">
        <v>0</v>
      </c>
      <c r="CQ31" s="402">
        <v>0</v>
      </c>
      <c r="CR31" s="402">
        <v>39216</v>
      </c>
      <c r="CS31" s="402">
        <v>6200.5</v>
      </c>
      <c r="CT31" s="206"/>
      <c r="CU31" s="195"/>
      <c r="CV31" s="2"/>
    </row>
    <row r="32" spans="1:100" ht="14" x14ac:dyDescent="0.25">
      <c r="A32" s="32">
        <v>3122023</v>
      </c>
      <c r="B32" s="184">
        <v>2023</v>
      </c>
      <c r="C32" s="179" t="s">
        <v>87</v>
      </c>
      <c r="D32" s="124">
        <v>203</v>
      </c>
      <c r="E32" s="124">
        <v>203</v>
      </c>
      <c r="F32" s="124">
        <v>0</v>
      </c>
      <c r="G32" s="124">
        <v>0</v>
      </c>
      <c r="H32" s="124">
        <v>0</v>
      </c>
      <c r="I32" s="124">
        <f t="shared" si="0"/>
        <v>55.999999999999957</v>
      </c>
      <c r="J32" s="124">
        <f t="shared" si="1"/>
        <v>0</v>
      </c>
      <c r="K32" s="124">
        <f t="shared" si="2"/>
        <v>55.999999999999957</v>
      </c>
      <c r="L32" s="124">
        <f t="shared" si="3"/>
        <v>0</v>
      </c>
      <c r="M32" s="124">
        <f t="shared" si="4"/>
        <v>77.999999999999901</v>
      </c>
      <c r="N32" s="124">
        <f t="shared" si="5"/>
        <v>42.999999999999964</v>
      </c>
      <c r="O32" s="124">
        <f t="shared" si="6"/>
        <v>2.9999999999999982</v>
      </c>
      <c r="P32" s="124">
        <f t="shared" si="7"/>
        <v>0</v>
      </c>
      <c r="Q32" s="124">
        <f t="shared" si="8"/>
        <v>0</v>
      </c>
      <c r="R32" s="124">
        <f t="shared" si="9"/>
        <v>0</v>
      </c>
      <c r="S32" s="124">
        <f t="shared" si="10"/>
        <v>0</v>
      </c>
      <c r="T32" s="124">
        <f t="shared" si="11"/>
        <v>0</v>
      </c>
      <c r="U32" s="124">
        <f t="shared" si="12"/>
        <v>0</v>
      </c>
      <c r="V32" s="124">
        <f t="shared" si="13"/>
        <v>0</v>
      </c>
      <c r="W32" s="124">
        <f t="shared" si="14"/>
        <v>0</v>
      </c>
      <c r="X32" s="124">
        <f t="shared" si="15"/>
        <v>0</v>
      </c>
      <c r="Y32" s="124">
        <f t="shared" si="16"/>
        <v>13.999999999999996</v>
      </c>
      <c r="Z32" s="124">
        <f t="shared" si="17"/>
        <v>0</v>
      </c>
      <c r="AA32" s="124">
        <f t="shared" si="18"/>
        <v>82.908848520758838</v>
      </c>
      <c r="AB32" s="124">
        <f t="shared" si="19"/>
        <v>0</v>
      </c>
      <c r="AC32" s="124">
        <f t="shared" si="20"/>
        <v>0</v>
      </c>
      <c r="AD32" s="124">
        <f t="shared" si="21"/>
        <v>0</v>
      </c>
      <c r="AE32" s="127">
        <v>867291.11</v>
      </c>
      <c r="AF32" s="63">
        <v>0</v>
      </c>
      <c r="AG32" s="130">
        <v>0</v>
      </c>
      <c r="AH32" s="130">
        <v>30502.079999999973</v>
      </c>
      <c r="AI32" s="130">
        <v>0</v>
      </c>
      <c r="AJ32" s="130">
        <v>65317.369599999947</v>
      </c>
      <c r="AK32" s="130">
        <v>0</v>
      </c>
      <c r="AL32" s="130">
        <v>20169.598799999974</v>
      </c>
      <c r="AM32" s="130">
        <v>13484.911799999989</v>
      </c>
      <c r="AN32" s="134">
        <v>1468.980599999999</v>
      </c>
      <c r="AO32" s="64">
        <v>0</v>
      </c>
      <c r="AP32" s="64">
        <v>0</v>
      </c>
      <c r="AQ32" s="64">
        <v>0</v>
      </c>
      <c r="AR32" s="64">
        <v>0</v>
      </c>
      <c r="AS32" s="64">
        <v>0</v>
      </c>
      <c r="AT32" s="64">
        <v>0</v>
      </c>
      <c r="AU32" s="64">
        <v>0</v>
      </c>
      <c r="AV32" s="64">
        <v>0</v>
      </c>
      <c r="AW32" s="64">
        <v>0</v>
      </c>
      <c r="AX32" s="64">
        <v>9165.9399999999987</v>
      </c>
      <c r="AY32" s="64">
        <v>0</v>
      </c>
      <c r="AZ32" s="64">
        <v>107194.50842945953</v>
      </c>
      <c r="BA32" s="64">
        <v>0</v>
      </c>
      <c r="BB32" s="64">
        <v>0</v>
      </c>
      <c r="BC32" s="142">
        <v>0</v>
      </c>
      <c r="BD32" s="142">
        <v>0</v>
      </c>
      <c r="BE32" s="142">
        <v>159662.24</v>
      </c>
      <c r="BF32" s="142"/>
      <c r="BG32" s="142">
        <v>58428.552000000003</v>
      </c>
      <c r="BH32" s="142"/>
      <c r="BI32" s="134">
        <v>0</v>
      </c>
      <c r="BJ32" s="64"/>
      <c r="BK32" s="64"/>
      <c r="BL32" s="142">
        <v>867291.11</v>
      </c>
      <c r="BM32" s="142">
        <v>247303.3892294594</v>
      </c>
      <c r="BN32" s="142">
        <v>218090.788</v>
      </c>
      <c r="BO32" s="142">
        <v>183091.20797569191</v>
      </c>
      <c r="BP32" s="142">
        <v>1332685.2872294593</v>
      </c>
      <c r="BQ32" s="142">
        <v>1332685.2872294593</v>
      </c>
      <c r="BR32" s="142">
        <v>0</v>
      </c>
      <c r="BS32" s="142">
        <v>1114594.4992294593</v>
      </c>
      <c r="BT32" s="142">
        <v>5490.6132966968444</v>
      </c>
      <c r="BU32" s="142">
        <v>5413.8434762557072</v>
      </c>
      <c r="BV32" s="148">
        <v>1.4180280752082681E-2</v>
      </c>
      <c r="BW32" s="148">
        <v>0</v>
      </c>
      <c r="BX32" s="142">
        <v>0</v>
      </c>
      <c r="BY32" s="219">
        <v>1332685.2872294593</v>
      </c>
      <c r="BZ32" s="142">
        <v>259.84000000000003</v>
      </c>
      <c r="CA32" s="142">
        <v>2237.06</v>
      </c>
      <c r="CB32" s="188">
        <v>1330188.3872294594</v>
      </c>
      <c r="CC32" s="2"/>
      <c r="CD32" s="212">
        <f>IFERROR(VLOOKUP(B32,#REF!,29,0),0)</f>
        <v>0</v>
      </c>
      <c r="CE32" s="193">
        <f>IFERROR(VLOOKUP(B32,#REF!,28,0),0)</f>
        <v>0</v>
      </c>
      <c r="CF32" s="142"/>
      <c r="CG32" s="194"/>
      <c r="CH32" s="229">
        <v>0</v>
      </c>
      <c r="CI32" s="229">
        <v>0</v>
      </c>
      <c r="CJ32" s="226">
        <v>83800</v>
      </c>
      <c r="CL32" s="401">
        <v>81400</v>
      </c>
      <c r="CM32" s="402" t="s">
        <v>266</v>
      </c>
      <c r="CN32" s="402">
        <v>2530</v>
      </c>
      <c r="CO32" s="402">
        <v>7654</v>
      </c>
      <c r="CP32" s="402">
        <v>20263.5</v>
      </c>
      <c r="CQ32" s="402">
        <v>58764.149999999994</v>
      </c>
      <c r="CR32" s="402">
        <v>0</v>
      </c>
      <c r="CS32" s="402">
        <v>6666.25</v>
      </c>
      <c r="CT32" s="206"/>
      <c r="CU32" s="195"/>
      <c r="CV32" s="2"/>
    </row>
    <row r="33" spans="1:100" ht="14" hidden="1" x14ac:dyDescent="0.25">
      <c r="A33" s="32">
        <v>3126906</v>
      </c>
      <c r="B33" s="184">
        <v>6906</v>
      </c>
      <c r="C33" s="179" t="s">
        <v>274</v>
      </c>
      <c r="D33" s="124">
        <v>234</v>
      </c>
      <c r="E33" s="124">
        <v>0</v>
      </c>
      <c r="F33" s="124">
        <v>234</v>
      </c>
      <c r="G33" s="124">
        <v>159</v>
      </c>
      <c r="H33" s="124">
        <v>75</v>
      </c>
      <c r="I33" s="124">
        <f t="shared" si="0"/>
        <v>0</v>
      </c>
      <c r="J33" s="124">
        <f t="shared" si="1"/>
        <v>102.00000000000003</v>
      </c>
      <c r="K33" s="124">
        <f t="shared" si="2"/>
        <v>0</v>
      </c>
      <c r="L33" s="124">
        <f t="shared" si="3"/>
        <v>112.0000000000001</v>
      </c>
      <c r="M33" s="124">
        <f t="shared" si="4"/>
        <v>0</v>
      </c>
      <c r="N33" s="124">
        <f t="shared" si="5"/>
        <v>0</v>
      </c>
      <c r="O33" s="124">
        <f t="shared" si="6"/>
        <v>0</v>
      </c>
      <c r="P33" s="124">
        <f t="shared" si="7"/>
        <v>0</v>
      </c>
      <c r="Q33" s="124">
        <f t="shared" si="8"/>
        <v>0</v>
      </c>
      <c r="R33" s="124">
        <f t="shared" si="9"/>
        <v>0</v>
      </c>
      <c r="S33" s="124">
        <f t="shared" si="10"/>
        <v>65.999999999999986</v>
      </c>
      <c r="T33" s="124">
        <f t="shared" si="11"/>
        <v>29.000000000000018</v>
      </c>
      <c r="U33" s="124">
        <f t="shared" si="12"/>
        <v>5.9999999999999902</v>
      </c>
      <c r="V33" s="124">
        <f t="shared" si="13"/>
        <v>2.0000000000000004</v>
      </c>
      <c r="W33" s="124">
        <f t="shared" si="14"/>
        <v>0.99999999999999922</v>
      </c>
      <c r="X33" s="124">
        <f t="shared" si="15"/>
        <v>0.99999999999999911</v>
      </c>
      <c r="Y33" s="124">
        <f t="shared" si="16"/>
        <v>0</v>
      </c>
      <c r="Z33" s="124">
        <f t="shared" si="17"/>
        <v>15.000035896004148</v>
      </c>
      <c r="AA33" s="124">
        <f t="shared" si="18"/>
        <v>0</v>
      </c>
      <c r="AB33" s="124">
        <f t="shared" si="19"/>
        <v>77.61055806096698</v>
      </c>
      <c r="AC33" s="124">
        <f t="shared" si="20"/>
        <v>0</v>
      </c>
      <c r="AD33" s="124">
        <f t="shared" si="21"/>
        <v>18.097339055793896</v>
      </c>
      <c r="AE33" s="127">
        <v>0</v>
      </c>
      <c r="AF33" s="63">
        <v>929514</v>
      </c>
      <c r="AG33" s="130">
        <v>494250</v>
      </c>
      <c r="AH33" s="130">
        <v>0</v>
      </c>
      <c r="AI33" s="130">
        <v>55557.360000000008</v>
      </c>
      <c r="AJ33" s="130">
        <v>0</v>
      </c>
      <c r="AK33" s="130">
        <v>191638.69760000016</v>
      </c>
      <c r="AL33" s="130">
        <v>0</v>
      </c>
      <c r="AM33" s="130">
        <v>0</v>
      </c>
      <c r="AN33" s="134">
        <v>0</v>
      </c>
      <c r="AO33" s="64">
        <v>0</v>
      </c>
      <c r="AP33" s="64">
        <v>0</v>
      </c>
      <c r="AQ33" s="64">
        <v>0</v>
      </c>
      <c r="AR33" s="64">
        <v>24692.078399999995</v>
      </c>
      <c r="AS33" s="64">
        <v>14359.698000000008</v>
      </c>
      <c r="AT33" s="64">
        <v>4192.3715999999931</v>
      </c>
      <c r="AU33" s="64">
        <v>1529.5004000000001</v>
      </c>
      <c r="AV33" s="64">
        <v>819.7681999999993</v>
      </c>
      <c r="AW33" s="64">
        <v>1045.3419999999992</v>
      </c>
      <c r="AX33" s="64">
        <v>0</v>
      </c>
      <c r="AY33" s="64">
        <v>26326.112999999998</v>
      </c>
      <c r="AZ33" s="64">
        <v>0</v>
      </c>
      <c r="BA33" s="64">
        <v>152438.0015098677</v>
      </c>
      <c r="BB33" s="64">
        <v>0</v>
      </c>
      <c r="BC33" s="142">
        <v>27580.344721029898</v>
      </c>
      <c r="BD33" s="142">
        <v>87793.322960000034</v>
      </c>
      <c r="BE33" s="142"/>
      <c r="BF33" s="142">
        <v>159662.24</v>
      </c>
      <c r="BG33" s="142">
        <v>82663.360000000001</v>
      </c>
      <c r="BH33" s="142"/>
      <c r="BI33" s="134">
        <v>0</v>
      </c>
      <c r="BJ33" s="64"/>
      <c r="BK33" s="64"/>
      <c r="BL33" s="142">
        <v>1423764</v>
      </c>
      <c r="BM33" s="142">
        <v>500179.27543089789</v>
      </c>
      <c r="BN33" s="142">
        <v>330118.91896000004</v>
      </c>
      <c r="BO33" s="142">
        <v>243927.33581514738</v>
      </c>
      <c r="BP33" s="142">
        <v>2254062.1943908981</v>
      </c>
      <c r="BQ33" s="142">
        <v>0</v>
      </c>
      <c r="BR33" s="142">
        <v>2254062.1943908976</v>
      </c>
      <c r="BS33" s="142">
        <v>1923943.2754308979</v>
      </c>
      <c r="BT33" s="142">
        <v>8221.9798095337519</v>
      </c>
      <c r="BU33" s="142">
        <v>7959.4336964897966</v>
      </c>
      <c r="BV33" s="148">
        <v>3.2985526741650124E-2</v>
      </c>
      <c r="BW33" s="148">
        <v>0</v>
      </c>
      <c r="BX33" s="142">
        <v>0</v>
      </c>
      <c r="BY33" s="219">
        <v>2254062.1943908981</v>
      </c>
      <c r="BZ33" s="142">
        <v>0</v>
      </c>
      <c r="CA33" s="142">
        <v>0</v>
      </c>
      <c r="CB33" s="188">
        <v>2254062.1943908981</v>
      </c>
      <c r="CC33" s="2"/>
      <c r="CD33" s="212">
        <f>IFERROR(VLOOKUP(B33,#REF!,29,0),0)</f>
        <v>0</v>
      </c>
      <c r="CE33" s="193">
        <f>IFERROR(VLOOKUP(B33,#REF!,28,0),0)</f>
        <v>0</v>
      </c>
      <c r="CF33" s="142"/>
      <c r="CG33" s="194"/>
      <c r="CH33" s="229">
        <v>0</v>
      </c>
      <c r="CI33" s="229">
        <v>0</v>
      </c>
      <c r="CJ33" s="226">
        <v>0</v>
      </c>
      <c r="CL33" s="401">
        <v>0</v>
      </c>
      <c r="CM33" s="402">
        <v>0</v>
      </c>
      <c r="CN33" s="402">
        <v>0</v>
      </c>
      <c r="CO33" s="402">
        <v>0</v>
      </c>
      <c r="CP33" s="402">
        <v>0</v>
      </c>
      <c r="CQ33" s="402">
        <v>0</v>
      </c>
      <c r="CR33" s="402">
        <v>0</v>
      </c>
      <c r="CS33" s="402">
        <v>0</v>
      </c>
      <c r="CT33" s="206"/>
      <c r="CU33" s="195"/>
      <c r="CV33" s="2"/>
    </row>
    <row r="34" spans="1:100" ht="14" x14ac:dyDescent="0.25">
      <c r="A34" s="32">
        <v>3125411</v>
      </c>
      <c r="B34" s="184">
        <v>5411</v>
      </c>
      <c r="C34" s="179" t="s">
        <v>89</v>
      </c>
      <c r="D34" s="124">
        <v>1117</v>
      </c>
      <c r="E34" s="124">
        <v>0</v>
      </c>
      <c r="F34" s="124">
        <v>1117</v>
      </c>
      <c r="G34" s="124">
        <v>685</v>
      </c>
      <c r="H34" s="124">
        <v>432</v>
      </c>
      <c r="I34" s="124">
        <f t="shared" si="0"/>
        <v>0</v>
      </c>
      <c r="J34" s="124">
        <f t="shared" si="1"/>
        <v>449.00000000000045</v>
      </c>
      <c r="K34" s="124">
        <f t="shared" si="2"/>
        <v>0</v>
      </c>
      <c r="L34" s="124">
        <f t="shared" si="3"/>
        <v>470.00000000000034</v>
      </c>
      <c r="M34" s="124">
        <f t="shared" si="4"/>
        <v>0</v>
      </c>
      <c r="N34" s="124">
        <f t="shared" si="5"/>
        <v>0</v>
      </c>
      <c r="O34" s="124">
        <f t="shared" si="6"/>
        <v>0</v>
      </c>
      <c r="P34" s="124">
        <f t="shared" si="7"/>
        <v>0</v>
      </c>
      <c r="Q34" s="124">
        <f t="shared" si="8"/>
        <v>0</v>
      </c>
      <c r="R34" s="124">
        <f t="shared" si="9"/>
        <v>0</v>
      </c>
      <c r="S34" s="124">
        <f t="shared" si="10"/>
        <v>342</v>
      </c>
      <c r="T34" s="124">
        <f t="shared" si="11"/>
        <v>331.00000000000011</v>
      </c>
      <c r="U34" s="124">
        <f t="shared" si="12"/>
        <v>12.000000000000009</v>
      </c>
      <c r="V34" s="124">
        <f t="shared" si="13"/>
        <v>14.000000000000011</v>
      </c>
      <c r="W34" s="124">
        <f t="shared" si="14"/>
        <v>0.99999999999999978</v>
      </c>
      <c r="X34" s="124">
        <f t="shared" si="15"/>
        <v>0.99999999999999956</v>
      </c>
      <c r="Y34" s="124">
        <f t="shared" si="16"/>
        <v>0</v>
      </c>
      <c r="Z34" s="124">
        <f t="shared" si="17"/>
        <v>120.10781430707253</v>
      </c>
      <c r="AA34" s="124">
        <f t="shared" si="18"/>
        <v>0</v>
      </c>
      <c r="AB34" s="124">
        <f t="shared" si="19"/>
        <v>320.30081860357217</v>
      </c>
      <c r="AC34" s="124">
        <f t="shared" si="20"/>
        <v>0</v>
      </c>
      <c r="AD34" s="124">
        <f t="shared" si="21"/>
        <v>0</v>
      </c>
      <c r="AE34" s="127">
        <v>0</v>
      </c>
      <c r="AF34" s="63">
        <v>4004510</v>
      </c>
      <c r="AG34" s="130">
        <v>2846880</v>
      </c>
      <c r="AH34" s="130">
        <v>0</v>
      </c>
      <c r="AI34" s="130">
        <v>244561.32000000021</v>
      </c>
      <c r="AJ34" s="130">
        <v>0</v>
      </c>
      <c r="AK34" s="130">
        <v>804198.10600000061</v>
      </c>
      <c r="AL34" s="130">
        <v>0</v>
      </c>
      <c r="AM34" s="130">
        <v>0</v>
      </c>
      <c r="AN34" s="134">
        <v>0</v>
      </c>
      <c r="AO34" s="64">
        <v>0</v>
      </c>
      <c r="AP34" s="64">
        <v>0</v>
      </c>
      <c r="AQ34" s="64">
        <v>0</v>
      </c>
      <c r="AR34" s="64">
        <v>127949.86080000001</v>
      </c>
      <c r="AS34" s="64">
        <v>163898.62200000006</v>
      </c>
      <c r="AT34" s="64">
        <v>8384.7432000000063</v>
      </c>
      <c r="AU34" s="64">
        <v>10706.502800000007</v>
      </c>
      <c r="AV34" s="64">
        <v>819.76819999999975</v>
      </c>
      <c r="AW34" s="64">
        <v>1045.3419999999996</v>
      </c>
      <c r="AX34" s="64">
        <v>0</v>
      </c>
      <c r="AY34" s="64">
        <v>210797.62165591377</v>
      </c>
      <c r="AZ34" s="64">
        <v>0</v>
      </c>
      <c r="BA34" s="64">
        <v>629115.64985202032</v>
      </c>
      <c r="BB34" s="64">
        <v>0</v>
      </c>
      <c r="BC34" s="142">
        <v>0</v>
      </c>
      <c r="BD34" s="142">
        <v>0</v>
      </c>
      <c r="BE34" s="142">
        <v>159662.24</v>
      </c>
      <c r="BF34" s="142"/>
      <c r="BG34" s="142">
        <v>49353.46</v>
      </c>
      <c r="BH34" s="142"/>
      <c r="BI34" s="134">
        <v>0</v>
      </c>
      <c r="BJ34" s="64"/>
      <c r="BK34" s="64"/>
      <c r="BL34" s="142">
        <v>6851390</v>
      </c>
      <c r="BM34" s="142">
        <v>2201477.5365079348</v>
      </c>
      <c r="BN34" s="142">
        <v>209015.696</v>
      </c>
      <c r="BO34" s="142">
        <v>1049501.2434561369</v>
      </c>
      <c r="BP34" s="142">
        <v>9261883.2325079348</v>
      </c>
      <c r="BQ34" s="142">
        <v>0</v>
      </c>
      <c r="BR34" s="142">
        <v>9261883.2325079367</v>
      </c>
      <c r="BS34" s="142">
        <v>9052867.5365079343</v>
      </c>
      <c r="BT34" s="142">
        <v>8104.6262636597439</v>
      </c>
      <c r="BU34" s="142">
        <v>8060.9145138992535</v>
      </c>
      <c r="BV34" s="148">
        <v>5.4226787401254828E-3</v>
      </c>
      <c r="BW34" s="148">
        <v>0</v>
      </c>
      <c r="BX34" s="142">
        <v>0</v>
      </c>
      <c r="BY34" s="219">
        <v>9261883.2325079348</v>
      </c>
      <c r="BZ34" s="142">
        <v>1429.76</v>
      </c>
      <c r="CA34" s="142">
        <v>12309.34</v>
      </c>
      <c r="CB34" s="188">
        <v>9248144.1325079352</v>
      </c>
      <c r="CC34" s="2"/>
      <c r="CD34" s="212">
        <f>IFERROR(VLOOKUP(B34,#REF!,29,0),0)</f>
        <v>0</v>
      </c>
      <c r="CE34" s="193">
        <f>IFERROR(VLOOKUP(B34,#REF!,28,0),0)</f>
        <v>0</v>
      </c>
      <c r="CF34" s="142"/>
      <c r="CG34" s="194"/>
      <c r="CH34" s="229">
        <f>42000</f>
        <v>42000</v>
      </c>
      <c r="CI34" s="229">
        <v>96000</v>
      </c>
      <c r="CJ34" s="226">
        <v>333761</v>
      </c>
      <c r="CL34" s="401">
        <v>468300</v>
      </c>
      <c r="CM34" s="402">
        <v>1340</v>
      </c>
      <c r="CN34" s="402" t="s">
        <v>266</v>
      </c>
      <c r="CO34" s="402">
        <v>0</v>
      </c>
      <c r="CP34" s="402">
        <v>0</v>
      </c>
      <c r="CQ34" s="402">
        <v>0</v>
      </c>
      <c r="CR34" s="402">
        <v>0</v>
      </c>
      <c r="CS34" s="402">
        <v>26978.13</v>
      </c>
      <c r="CT34" s="206"/>
      <c r="CU34" s="195"/>
      <c r="CV34" s="2"/>
    </row>
    <row r="35" spans="1:100" ht="14" x14ac:dyDescent="0.25">
      <c r="A35" s="32">
        <v>3122025</v>
      </c>
      <c r="B35" s="184">
        <v>2025</v>
      </c>
      <c r="C35" s="179" t="s">
        <v>91</v>
      </c>
      <c r="D35" s="124">
        <v>375</v>
      </c>
      <c r="E35" s="124">
        <v>375</v>
      </c>
      <c r="F35" s="124">
        <v>0</v>
      </c>
      <c r="G35" s="124">
        <v>0</v>
      </c>
      <c r="H35" s="124">
        <v>0</v>
      </c>
      <c r="I35" s="124">
        <f t="shared" si="0"/>
        <v>49.000000000000121</v>
      </c>
      <c r="J35" s="124">
        <f t="shared" si="1"/>
        <v>0</v>
      </c>
      <c r="K35" s="124">
        <f t="shared" si="2"/>
        <v>49.000000000000121</v>
      </c>
      <c r="L35" s="124">
        <f t="shared" si="3"/>
        <v>0</v>
      </c>
      <c r="M35" s="124">
        <f t="shared" si="4"/>
        <v>61.327077747989257</v>
      </c>
      <c r="N35" s="124">
        <f t="shared" si="5"/>
        <v>0</v>
      </c>
      <c r="O35" s="124">
        <f t="shared" si="6"/>
        <v>17.091152815013402</v>
      </c>
      <c r="P35" s="124">
        <f t="shared" si="7"/>
        <v>0</v>
      </c>
      <c r="Q35" s="124">
        <f t="shared" si="8"/>
        <v>0</v>
      </c>
      <c r="R35" s="124">
        <f t="shared" si="9"/>
        <v>0</v>
      </c>
      <c r="S35" s="124">
        <f t="shared" si="10"/>
        <v>0</v>
      </c>
      <c r="T35" s="124">
        <f t="shared" si="11"/>
        <v>0</v>
      </c>
      <c r="U35" s="124">
        <f t="shared" si="12"/>
        <v>0</v>
      </c>
      <c r="V35" s="124">
        <f t="shared" si="13"/>
        <v>0</v>
      </c>
      <c r="W35" s="124">
        <f t="shared" si="14"/>
        <v>0</v>
      </c>
      <c r="X35" s="124">
        <f t="shared" si="15"/>
        <v>0</v>
      </c>
      <c r="Y35" s="124">
        <f t="shared" si="16"/>
        <v>104.54545454545463</v>
      </c>
      <c r="Z35" s="124">
        <f t="shared" si="17"/>
        <v>0</v>
      </c>
      <c r="AA35" s="124">
        <f t="shared" si="18"/>
        <v>136.74556831163483</v>
      </c>
      <c r="AB35" s="124">
        <f t="shared" si="19"/>
        <v>0</v>
      </c>
      <c r="AC35" s="124">
        <f t="shared" si="20"/>
        <v>3.5695187165775359</v>
      </c>
      <c r="AD35" s="124">
        <f t="shared" si="21"/>
        <v>0</v>
      </c>
      <c r="AE35" s="127">
        <v>1602138.75</v>
      </c>
      <c r="AF35" s="63">
        <v>0</v>
      </c>
      <c r="AG35" s="130">
        <v>0</v>
      </c>
      <c r="AH35" s="130">
        <v>26689.320000000062</v>
      </c>
      <c r="AI35" s="130">
        <v>0</v>
      </c>
      <c r="AJ35" s="130">
        <v>57152.698400000139</v>
      </c>
      <c r="AK35" s="130">
        <v>0</v>
      </c>
      <c r="AL35" s="130">
        <v>15858.237868632705</v>
      </c>
      <c r="AM35" s="130">
        <v>0</v>
      </c>
      <c r="AN35" s="134">
        <v>8368.8573056300247</v>
      </c>
      <c r="AO35" s="64">
        <v>0</v>
      </c>
      <c r="AP35" s="64">
        <v>0</v>
      </c>
      <c r="AQ35" s="64">
        <v>0</v>
      </c>
      <c r="AR35" s="64">
        <v>0</v>
      </c>
      <c r="AS35" s="64">
        <v>0</v>
      </c>
      <c r="AT35" s="64">
        <v>0</v>
      </c>
      <c r="AU35" s="64">
        <v>0</v>
      </c>
      <c r="AV35" s="64">
        <v>0</v>
      </c>
      <c r="AW35" s="64">
        <v>0</v>
      </c>
      <c r="AX35" s="64">
        <v>68446.954545454602</v>
      </c>
      <c r="AY35" s="64">
        <v>0</v>
      </c>
      <c r="AZ35" s="64">
        <v>176801.0801814789</v>
      </c>
      <c r="BA35" s="64">
        <v>0</v>
      </c>
      <c r="BB35" s="64">
        <v>3790.2934491978563</v>
      </c>
      <c r="BC35" s="142">
        <v>0</v>
      </c>
      <c r="BD35" s="142">
        <v>0</v>
      </c>
      <c r="BE35" s="142">
        <v>159662.24</v>
      </c>
      <c r="BF35" s="142"/>
      <c r="BG35" s="142">
        <v>92029.392000000007</v>
      </c>
      <c r="BH35" s="142"/>
      <c r="BI35" s="134">
        <v>0</v>
      </c>
      <c r="BJ35" s="64"/>
      <c r="BK35" s="64"/>
      <c r="BL35" s="142">
        <v>1602138.75</v>
      </c>
      <c r="BM35" s="142">
        <v>357107.44175039424</v>
      </c>
      <c r="BN35" s="142">
        <v>251691.62800000003</v>
      </c>
      <c r="BO35" s="142">
        <v>267080.67303186405</v>
      </c>
      <c r="BP35" s="142">
        <v>2210937.8197503942</v>
      </c>
      <c r="BQ35" s="142">
        <v>2210937.8197503947</v>
      </c>
      <c r="BR35" s="142">
        <v>0</v>
      </c>
      <c r="BS35" s="142">
        <v>1959246.1917503942</v>
      </c>
      <c r="BT35" s="142">
        <v>5224.656511334384</v>
      </c>
      <c r="BU35" s="142">
        <v>5321.7038658354131</v>
      </c>
      <c r="BV35" s="148">
        <v>-1.8236143338237847E-2</v>
      </c>
      <c r="BW35" s="148">
        <v>1.8236143338237847E-2</v>
      </c>
      <c r="BX35" s="142">
        <v>36392.757937885901</v>
      </c>
      <c r="BY35" s="219">
        <v>2247330.57768828</v>
      </c>
      <c r="BZ35" s="142">
        <v>480</v>
      </c>
      <c r="CA35" s="142">
        <v>4132.5</v>
      </c>
      <c r="CB35" s="188">
        <v>2242718.07768828</v>
      </c>
      <c r="CC35" s="2"/>
      <c r="CD35" s="212">
        <f>IFERROR(VLOOKUP(B35,#REF!,29,0),0)</f>
        <v>0</v>
      </c>
      <c r="CE35" s="193">
        <f>IFERROR(VLOOKUP(B35,#REF!,28,0),0)</f>
        <v>0</v>
      </c>
      <c r="CF35" s="142"/>
      <c r="CG35" s="194"/>
      <c r="CH35" s="229">
        <v>0</v>
      </c>
      <c r="CI35" s="229">
        <v>0</v>
      </c>
      <c r="CJ35" s="226">
        <v>159490</v>
      </c>
      <c r="CL35" s="401">
        <v>85840</v>
      </c>
      <c r="CM35" s="402">
        <v>3015</v>
      </c>
      <c r="CN35" s="402">
        <v>2530</v>
      </c>
      <c r="CO35" s="402">
        <v>8221</v>
      </c>
      <c r="CP35" s="402">
        <v>24880.5</v>
      </c>
      <c r="CQ35" s="402">
        <v>72153.450000000012</v>
      </c>
      <c r="CR35" s="402">
        <v>50980.799999999996</v>
      </c>
      <c r="CS35" s="402">
        <v>9116.5</v>
      </c>
      <c r="CT35" s="206"/>
      <c r="CU35" s="195"/>
      <c r="CV35" s="2"/>
    </row>
    <row r="36" spans="1:100" ht="14" x14ac:dyDescent="0.25">
      <c r="A36" s="32">
        <v>3122026</v>
      </c>
      <c r="B36" s="184">
        <v>2026</v>
      </c>
      <c r="C36" s="179" t="s">
        <v>93</v>
      </c>
      <c r="D36" s="124">
        <v>191</v>
      </c>
      <c r="E36" s="124">
        <v>191</v>
      </c>
      <c r="F36" s="124">
        <v>0</v>
      </c>
      <c r="G36" s="124">
        <v>0</v>
      </c>
      <c r="H36" s="124">
        <v>0</v>
      </c>
      <c r="I36" s="124">
        <f t="shared" si="0"/>
        <v>50.000000000000021</v>
      </c>
      <c r="J36" s="124">
        <f t="shared" si="1"/>
        <v>0</v>
      </c>
      <c r="K36" s="124">
        <f t="shared" si="2"/>
        <v>50.000000000000021</v>
      </c>
      <c r="L36" s="124">
        <f t="shared" si="3"/>
        <v>0</v>
      </c>
      <c r="M36" s="124">
        <f t="shared" si="4"/>
        <v>91.999999999999986</v>
      </c>
      <c r="N36" s="124">
        <f t="shared" si="5"/>
        <v>39.000000000000064</v>
      </c>
      <c r="O36" s="124">
        <f t="shared" si="6"/>
        <v>0</v>
      </c>
      <c r="P36" s="124">
        <f t="shared" si="7"/>
        <v>18.000000000000004</v>
      </c>
      <c r="Q36" s="124">
        <f t="shared" si="8"/>
        <v>0</v>
      </c>
      <c r="R36" s="124">
        <f t="shared" si="9"/>
        <v>0</v>
      </c>
      <c r="S36" s="124">
        <f t="shared" si="10"/>
        <v>0</v>
      </c>
      <c r="T36" s="124">
        <f t="shared" si="11"/>
        <v>0</v>
      </c>
      <c r="U36" s="124">
        <f t="shared" si="12"/>
        <v>0</v>
      </c>
      <c r="V36" s="124">
        <f t="shared" si="13"/>
        <v>0</v>
      </c>
      <c r="W36" s="124">
        <f t="shared" si="14"/>
        <v>0</v>
      </c>
      <c r="X36" s="124">
        <f t="shared" si="15"/>
        <v>0</v>
      </c>
      <c r="Y36" s="124">
        <f t="shared" si="16"/>
        <v>47.160493827160579</v>
      </c>
      <c r="Z36" s="124">
        <f t="shared" si="17"/>
        <v>0</v>
      </c>
      <c r="AA36" s="124">
        <f t="shared" si="18"/>
        <v>40.605732869920082</v>
      </c>
      <c r="AB36" s="124">
        <f t="shared" si="19"/>
        <v>0</v>
      </c>
      <c r="AC36" s="124">
        <f t="shared" si="20"/>
        <v>4.5399999999999991</v>
      </c>
      <c r="AD36" s="124">
        <f t="shared" si="21"/>
        <v>0</v>
      </c>
      <c r="AE36" s="127">
        <v>816022.66999999993</v>
      </c>
      <c r="AF36" s="63">
        <v>0</v>
      </c>
      <c r="AG36" s="130">
        <v>0</v>
      </c>
      <c r="AH36" s="130">
        <v>27234.000000000011</v>
      </c>
      <c r="AI36" s="130">
        <v>0</v>
      </c>
      <c r="AJ36" s="130">
        <v>58319.080000000024</v>
      </c>
      <c r="AK36" s="130">
        <v>0</v>
      </c>
      <c r="AL36" s="130">
        <v>23789.783199999998</v>
      </c>
      <c r="AM36" s="130">
        <v>12230.501400000019</v>
      </c>
      <c r="AN36" s="134">
        <v>0</v>
      </c>
      <c r="AO36" s="64">
        <v>9705.1752000000015</v>
      </c>
      <c r="AP36" s="64">
        <v>0</v>
      </c>
      <c r="AQ36" s="64">
        <v>0</v>
      </c>
      <c r="AR36" s="64">
        <v>0</v>
      </c>
      <c r="AS36" s="64">
        <v>0</v>
      </c>
      <c r="AT36" s="64">
        <v>0</v>
      </c>
      <c r="AU36" s="64">
        <v>0</v>
      </c>
      <c r="AV36" s="64">
        <v>0</v>
      </c>
      <c r="AW36" s="64">
        <v>0</v>
      </c>
      <c r="AX36" s="64">
        <v>30876.446913580305</v>
      </c>
      <c r="AY36" s="64">
        <v>0</v>
      </c>
      <c r="AZ36" s="64">
        <v>52499.964142177079</v>
      </c>
      <c r="BA36" s="64">
        <v>0</v>
      </c>
      <c r="BB36" s="64">
        <v>4820.7989999999991</v>
      </c>
      <c r="BC36" s="142">
        <v>0</v>
      </c>
      <c r="BD36" s="142">
        <v>0</v>
      </c>
      <c r="BE36" s="142">
        <v>159662.24</v>
      </c>
      <c r="BF36" s="142"/>
      <c r="BG36" s="142">
        <v>19460.973999999998</v>
      </c>
      <c r="BH36" s="142"/>
      <c r="BI36" s="134">
        <v>0</v>
      </c>
      <c r="BJ36" s="64"/>
      <c r="BK36" s="64"/>
      <c r="BL36" s="142">
        <v>816022.66999999993</v>
      </c>
      <c r="BM36" s="142">
        <v>219475.74985575743</v>
      </c>
      <c r="BN36" s="142">
        <v>179123.21</v>
      </c>
      <c r="BO36" s="142">
        <v>132322.07187564648</v>
      </c>
      <c r="BP36" s="142">
        <v>1214621.6298557573</v>
      </c>
      <c r="BQ36" s="142">
        <v>1214621.6298557576</v>
      </c>
      <c r="BR36" s="142">
        <v>0</v>
      </c>
      <c r="BS36" s="142">
        <v>1035498.4198557573</v>
      </c>
      <c r="BT36" s="142">
        <v>5421.4576955798811</v>
      </c>
      <c r="BU36" s="142">
        <v>5417.4750905759165</v>
      </c>
      <c r="BV36" s="148">
        <v>7.3514043671241993E-4</v>
      </c>
      <c r="BW36" s="148">
        <v>0</v>
      </c>
      <c r="BX36" s="142">
        <v>0</v>
      </c>
      <c r="BY36" s="219">
        <v>1214621.6298557573</v>
      </c>
      <c r="BZ36" s="142">
        <v>244.48000000000002</v>
      </c>
      <c r="CA36" s="142">
        <v>2104.8199999999997</v>
      </c>
      <c r="CB36" s="188">
        <v>1212272.3298557573</v>
      </c>
      <c r="CC36" s="2"/>
      <c r="CD36" s="213">
        <f>IFERROR(VLOOKUP(B36,#REF!,29,0),0)</f>
        <v>0</v>
      </c>
      <c r="CE36" s="196">
        <f>IFERROR(VLOOKUP(B36,#REF!,28,0),0)</f>
        <v>0</v>
      </c>
      <c r="CF36" s="142"/>
      <c r="CG36" s="197"/>
      <c r="CH36" s="229">
        <v>0</v>
      </c>
      <c r="CI36" s="229">
        <v>0</v>
      </c>
      <c r="CJ36" s="226">
        <v>59400</v>
      </c>
      <c r="CL36" s="401">
        <v>69560</v>
      </c>
      <c r="CM36" s="402" t="s">
        <v>266</v>
      </c>
      <c r="CN36" s="402">
        <v>5060</v>
      </c>
      <c r="CO36" s="402">
        <v>7342</v>
      </c>
      <c r="CP36" s="402">
        <v>10644.75</v>
      </c>
      <c r="CQ36" s="402">
        <v>30869.774999999998</v>
      </c>
      <c r="CR36" s="402">
        <v>27941.4</v>
      </c>
      <c r="CS36" s="402">
        <v>6364.75</v>
      </c>
      <c r="CT36" s="206"/>
      <c r="CU36" s="195"/>
      <c r="CV36" s="2"/>
    </row>
    <row r="37" spans="1:100" ht="14" hidden="1" x14ac:dyDescent="0.25">
      <c r="A37" s="32">
        <v>3125401</v>
      </c>
      <c r="B37" s="184">
        <v>5401</v>
      </c>
      <c r="C37" s="179" t="s">
        <v>94</v>
      </c>
      <c r="D37" s="124">
        <v>1179</v>
      </c>
      <c r="E37" s="124">
        <v>0</v>
      </c>
      <c r="F37" s="124">
        <v>1179</v>
      </c>
      <c r="G37" s="124">
        <v>633</v>
      </c>
      <c r="H37" s="124">
        <v>546</v>
      </c>
      <c r="I37" s="124">
        <f t="shared" ref="I37:I68" si="22">IFERROR(AH37/AH$3,0)</f>
        <v>0</v>
      </c>
      <c r="J37" s="124">
        <f t="shared" ref="J37:J68" si="23">IFERROR(AI37/AI$3,0)</f>
        <v>257.99999999999977</v>
      </c>
      <c r="K37" s="124">
        <f t="shared" ref="K37:K68" si="24">IFERROR(AJ37/AJ$3,0)</f>
        <v>0</v>
      </c>
      <c r="L37" s="124">
        <f t="shared" ref="L37:L68" si="25">IFERROR(AK37/AK$3,0)</f>
        <v>305.00000000000011</v>
      </c>
      <c r="M37" s="124">
        <f t="shared" ref="M37:M68" si="26">IFERROR(AL37/AL$3,0)</f>
        <v>0</v>
      </c>
      <c r="N37" s="124">
        <f t="shared" ref="N37:N68" si="27">IFERROR(AM37/AM$3,0)</f>
        <v>0</v>
      </c>
      <c r="O37" s="124">
        <f t="shared" ref="O37:O68" si="28">IFERROR(AN37/AN$3,0)</f>
        <v>0</v>
      </c>
      <c r="P37" s="124">
        <f t="shared" ref="P37:P68" si="29">IFERROR(AO37/AO$3,0)</f>
        <v>0</v>
      </c>
      <c r="Q37" s="124">
        <f t="shared" ref="Q37:Q68" si="30">IFERROR(AP37/AP$3,0)</f>
        <v>0</v>
      </c>
      <c r="R37" s="124">
        <f t="shared" ref="R37:R68" si="31">IFERROR(AQ37/AQ$3,0)</f>
        <v>0</v>
      </c>
      <c r="S37" s="124">
        <f t="shared" ref="S37:S68" si="32">IFERROR(AR37/AR$3,0)</f>
        <v>231.39252336448641</v>
      </c>
      <c r="T37" s="124">
        <f t="shared" ref="T37:T68" si="33">IFERROR(AS37/AS$3,0)</f>
        <v>67.113848768054424</v>
      </c>
      <c r="U37" s="124">
        <f t="shared" ref="U37:U68" si="34">IFERROR(AT37/AT$3,0)</f>
        <v>28.047578589634661</v>
      </c>
      <c r="V37" s="124">
        <f t="shared" ref="V37:V68" si="35">IFERROR(AU37/AU$3,0)</f>
        <v>3.0050977060322905</v>
      </c>
      <c r="W37" s="124">
        <f t="shared" ref="W37:W68" si="36">IFERROR(AV37/AV$3,0)</f>
        <v>3.0050977060322905</v>
      </c>
      <c r="X37" s="124">
        <f t="shared" ref="X37:X68" si="37">IFERROR(AW37/AW$3,0)</f>
        <v>0</v>
      </c>
      <c r="Y37" s="124">
        <f t="shared" ref="Y37:Y68" si="38">IFERROR(AX37/AX$3,0)</f>
        <v>0</v>
      </c>
      <c r="Z37" s="124">
        <f t="shared" ref="Z37:Z68" si="39">IFERROR(AY37/AY$3,0)</f>
        <v>131.56254659688443</v>
      </c>
      <c r="AA37" s="124">
        <f t="shared" ref="AA37:AA68" si="40">IFERROR(AZ37/AZ$3,0)</f>
        <v>0</v>
      </c>
      <c r="AB37" s="124">
        <f t="shared" ref="AB37:AB68" si="41">IFERROR(BA37/BA$3,0)</f>
        <v>222.21364826062327</v>
      </c>
      <c r="AC37" s="124">
        <f t="shared" ref="AC37:AC68" si="42">IFERROR(BB37/BB$3,0)</f>
        <v>0</v>
      </c>
      <c r="AD37" s="124">
        <f t="shared" ref="AD37:AD68" si="43">IFERROR(BC37/BC$3,0)</f>
        <v>38.445216652506417</v>
      </c>
      <c r="AE37" s="127">
        <v>0</v>
      </c>
      <c r="AF37" s="63">
        <v>3700518</v>
      </c>
      <c r="AG37" s="130">
        <v>3598140</v>
      </c>
      <c r="AH37" s="130">
        <v>0</v>
      </c>
      <c r="AI37" s="130">
        <v>140527.43999999986</v>
      </c>
      <c r="AJ37" s="130">
        <v>0</v>
      </c>
      <c r="AK37" s="130">
        <v>521873.23900000018</v>
      </c>
      <c r="AL37" s="130">
        <v>0</v>
      </c>
      <c r="AM37" s="130">
        <v>0</v>
      </c>
      <c r="AN37" s="134">
        <v>0</v>
      </c>
      <c r="AO37" s="64">
        <v>0</v>
      </c>
      <c r="AP37" s="64">
        <v>0</v>
      </c>
      <c r="AQ37" s="64">
        <v>0</v>
      </c>
      <c r="AR37" s="64">
        <v>86569.126183177737</v>
      </c>
      <c r="AS37" s="64">
        <v>33232.227583687367</v>
      </c>
      <c r="AT37" s="64">
        <v>19597.645321325403</v>
      </c>
      <c r="AU37" s="64">
        <v>2298.1490717077354</v>
      </c>
      <c r="AV37" s="64">
        <v>2463.4835372982197</v>
      </c>
      <c r="AW37" s="64">
        <v>0</v>
      </c>
      <c r="AX37" s="64">
        <v>0</v>
      </c>
      <c r="AY37" s="64">
        <v>230901.47865579397</v>
      </c>
      <c r="AZ37" s="64">
        <v>0</v>
      </c>
      <c r="BA37" s="64">
        <v>436458.71509462059</v>
      </c>
      <c r="BB37" s="64">
        <v>0</v>
      </c>
      <c r="BC37" s="142">
        <v>58590.510178419783</v>
      </c>
      <c r="BD37" s="142">
        <v>0</v>
      </c>
      <c r="BE37" s="142"/>
      <c r="BF37" s="142">
        <v>159662.24</v>
      </c>
      <c r="BG37" s="142">
        <v>39592.800000000003</v>
      </c>
      <c r="BH37" s="142"/>
      <c r="BI37" s="134">
        <v>0</v>
      </c>
      <c r="BJ37" s="64"/>
      <c r="BK37" s="64"/>
      <c r="BL37" s="142">
        <v>7298658</v>
      </c>
      <c r="BM37" s="142">
        <v>1532512.0146260308</v>
      </c>
      <c r="BN37" s="142">
        <v>199255.03600000002</v>
      </c>
      <c r="BO37" s="142">
        <v>759195.38156645244</v>
      </c>
      <c r="BP37" s="142">
        <v>9030425.0506260302</v>
      </c>
      <c r="BQ37" s="142">
        <v>0</v>
      </c>
      <c r="BR37" s="142">
        <v>9030425.0506260321</v>
      </c>
      <c r="BS37" s="142">
        <v>8831170.0146260299</v>
      </c>
      <c r="BT37" s="142">
        <v>7490.3901735589734</v>
      </c>
      <c r="BU37" s="142">
        <v>7276.0858451367785</v>
      </c>
      <c r="BV37" s="148">
        <v>2.945324354102179E-2</v>
      </c>
      <c r="BW37" s="148">
        <v>0</v>
      </c>
      <c r="BX37" s="142">
        <v>0</v>
      </c>
      <c r="BY37" s="219">
        <v>9030425.0506260302</v>
      </c>
      <c r="BZ37" s="142">
        <v>0</v>
      </c>
      <c r="CA37" s="142">
        <v>0</v>
      </c>
      <c r="CB37" s="188">
        <v>9030425.0506260302</v>
      </c>
      <c r="CC37" s="2"/>
      <c r="CD37" s="212">
        <f>IFERROR(VLOOKUP(B37,#REF!,29,0),0)</f>
        <v>0</v>
      </c>
      <c r="CE37" s="193">
        <f>IFERROR(VLOOKUP(B37,#REF!,28,0),0)</f>
        <v>0</v>
      </c>
      <c r="CF37" s="142"/>
      <c r="CG37" s="194"/>
      <c r="CH37" s="229">
        <v>0</v>
      </c>
      <c r="CI37" s="229">
        <v>0</v>
      </c>
      <c r="CJ37" s="226">
        <v>126201</v>
      </c>
      <c r="CL37" s="401">
        <v>0</v>
      </c>
      <c r="CM37" s="402">
        <v>0</v>
      </c>
      <c r="CN37" s="402">
        <v>0</v>
      </c>
      <c r="CO37" s="402">
        <v>0</v>
      </c>
      <c r="CP37" s="402">
        <v>0</v>
      </c>
      <c r="CQ37" s="402">
        <v>0</v>
      </c>
      <c r="CR37" s="402">
        <v>0</v>
      </c>
      <c r="CS37" s="402">
        <v>0</v>
      </c>
      <c r="CT37" s="206"/>
      <c r="CU37" s="195"/>
      <c r="CV37" s="2"/>
    </row>
    <row r="38" spans="1:100" ht="14" x14ac:dyDescent="0.25">
      <c r="A38" s="32">
        <v>3125211</v>
      </c>
      <c r="B38" s="184">
        <v>5211</v>
      </c>
      <c r="C38" s="179" t="s">
        <v>275</v>
      </c>
      <c r="D38" s="124">
        <v>607</v>
      </c>
      <c r="E38" s="124">
        <v>607</v>
      </c>
      <c r="F38" s="124">
        <v>0</v>
      </c>
      <c r="G38" s="124">
        <v>0</v>
      </c>
      <c r="H38" s="124">
        <v>0</v>
      </c>
      <c r="I38" s="124">
        <f t="shared" si="22"/>
        <v>117.00000000000031</v>
      </c>
      <c r="J38" s="124">
        <f t="shared" si="23"/>
        <v>0</v>
      </c>
      <c r="K38" s="124">
        <f t="shared" si="24"/>
        <v>121.00000000000001</v>
      </c>
      <c r="L38" s="124">
        <f t="shared" si="25"/>
        <v>0</v>
      </c>
      <c r="M38" s="124">
        <f t="shared" si="26"/>
        <v>110.00000000000018</v>
      </c>
      <c r="N38" s="124">
        <f t="shared" si="27"/>
        <v>41.999999999999972</v>
      </c>
      <c r="O38" s="124">
        <f t="shared" si="28"/>
        <v>19.000000000000004</v>
      </c>
      <c r="P38" s="124">
        <f t="shared" si="29"/>
        <v>1.0000000000000029</v>
      </c>
      <c r="Q38" s="124">
        <f t="shared" si="30"/>
        <v>1.0000000000000029</v>
      </c>
      <c r="R38" s="124">
        <f t="shared" si="31"/>
        <v>0</v>
      </c>
      <c r="S38" s="124">
        <f t="shared" si="32"/>
        <v>0</v>
      </c>
      <c r="T38" s="124">
        <f t="shared" si="33"/>
        <v>0</v>
      </c>
      <c r="U38" s="124">
        <f t="shared" si="34"/>
        <v>0</v>
      </c>
      <c r="V38" s="124">
        <f t="shared" si="35"/>
        <v>0</v>
      </c>
      <c r="W38" s="124">
        <f t="shared" si="36"/>
        <v>0</v>
      </c>
      <c r="X38" s="124">
        <f t="shared" si="37"/>
        <v>0</v>
      </c>
      <c r="Y38" s="124">
        <f t="shared" si="38"/>
        <v>186.76923076923094</v>
      </c>
      <c r="Z38" s="124">
        <f t="shared" si="39"/>
        <v>0</v>
      </c>
      <c r="AA38" s="124">
        <f t="shared" si="40"/>
        <v>176.4044289370764</v>
      </c>
      <c r="AB38" s="124">
        <f t="shared" si="41"/>
        <v>0</v>
      </c>
      <c r="AC38" s="124">
        <f t="shared" si="42"/>
        <v>25.68231023102291</v>
      </c>
      <c r="AD38" s="124">
        <f t="shared" si="43"/>
        <v>0</v>
      </c>
      <c r="AE38" s="127">
        <v>2593328.59</v>
      </c>
      <c r="AF38" s="63">
        <v>0</v>
      </c>
      <c r="AG38" s="130">
        <v>0</v>
      </c>
      <c r="AH38" s="130">
        <v>63727.560000000165</v>
      </c>
      <c r="AI38" s="130">
        <v>0</v>
      </c>
      <c r="AJ38" s="130">
        <v>141132.17360000001</v>
      </c>
      <c r="AK38" s="130">
        <v>0</v>
      </c>
      <c r="AL38" s="130">
        <v>28444.306000000051</v>
      </c>
      <c r="AM38" s="130">
        <v>13171.309199999991</v>
      </c>
      <c r="AN38" s="134">
        <v>9303.5438000000013</v>
      </c>
      <c r="AO38" s="64">
        <v>539.17640000000154</v>
      </c>
      <c r="AP38" s="64">
        <v>572.18720000000167</v>
      </c>
      <c r="AQ38" s="64">
        <v>0</v>
      </c>
      <c r="AR38" s="64">
        <v>0</v>
      </c>
      <c r="AS38" s="64">
        <v>0</v>
      </c>
      <c r="AT38" s="64">
        <v>0</v>
      </c>
      <c r="AU38" s="64">
        <v>0</v>
      </c>
      <c r="AV38" s="64">
        <v>0</v>
      </c>
      <c r="AW38" s="64">
        <v>0</v>
      </c>
      <c r="AX38" s="64">
        <v>122279.6830769232</v>
      </c>
      <c r="AY38" s="64">
        <v>0</v>
      </c>
      <c r="AZ38" s="64">
        <v>228076.81426132485</v>
      </c>
      <c r="BA38" s="64">
        <v>0</v>
      </c>
      <c r="BB38" s="64">
        <v>27270.761118811675</v>
      </c>
      <c r="BC38" s="142">
        <v>0</v>
      </c>
      <c r="BD38" s="142">
        <v>0</v>
      </c>
      <c r="BE38" s="142">
        <v>159662.24</v>
      </c>
      <c r="BF38" s="142"/>
      <c r="BG38" s="142">
        <v>16573.835200000001</v>
      </c>
      <c r="BH38" s="142"/>
      <c r="BI38" s="134">
        <v>0</v>
      </c>
      <c r="BJ38" s="64"/>
      <c r="BK38" s="64"/>
      <c r="BL38" s="142">
        <v>2593328.59</v>
      </c>
      <c r="BM38" s="142">
        <v>634517.51465705992</v>
      </c>
      <c r="BN38" s="142">
        <v>176236.07120000001</v>
      </c>
      <c r="BO38" s="142">
        <v>405491.48766903154</v>
      </c>
      <c r="BP38" s="142">
        <v>3404082.1758570597</v>
      </c>
      <c r="BQ38" s="142">
        <v>3404082.1758570597</v>
      </c>
      <c r="BR38" s="142">
        <v>0</v>
      </c>
      <c r="BS38" s="142">
        <v>3227846.1046570595</v>
      </c>
      <c r="BT38" s="142">
        <v>5317.7036320544639</v>
      </c>
      <c r="BU38" s="142">
        <v>5242.6980886699503</v>
      </c>
      <c r="BV38" s="148">
        <v>1.4306668458862607E-2</v>
      </c>
      <c r="BW38" s="148">
        <v>0</v>
      </c>
      <c r="BX38" s="142">
        <v>0</v>
      </c>
      <c r="BY38" s="219">
        <v>3404082.1758570597</v>
      </c>
      <c r="BZ38" s="142">
        <v>776.96</v>
      </c>
      <c r="CA38" s="142">
        <v>6689.1399999999994</v>
      </c>
      <c r="CB38" s="188">
        <v>3396616.0758570596</v>
      </c>
      <c r="CC38" s="2"/>
      <c r="CD38" s="212">
        <f>IFERROR(VLOOKUP(B38,#REF!,29,0),0)</f>
        <v>0</v>
      </c>
      <c r="CE38" s="193">
        <f>IFERROR(VLOOKUP(B38,#REF!,28,0),0)</f>
        <v>0</v>
      </c>
      <c r="CF38" s="142"/>
      <c r="CG38" s="194"/>
      <c r="CH38" s="229">
        <v>78000</v>
      </c>
      <c r="CI38" s="229">
        <v>0</v>
      </c>
      <c r="CJ38" s="226">
        <v>360232</v>
      </c>
      <c r="CL38" s="401">
        <v>159840</v>
      </c>
      <c r="CM38" s="402">
        <v>670</v>
      </c>
      <c r="CN38" s="402">
        <v>15180</v>
      </c>
      <c r="CO38" s="402">
        <v>8867</v>
      </c>
      <c r="CP38" s="402">
        <v>37320.75</v>
      </c>
      <c r="CQ38" s="402">
        <v>108230.17499999999</v>
      </c>
      <c r="CR38" s="402">
        <v>98775.3</v>
      </c>
      <c r="CS38" s="402">
        <v>11348.5</v>
      </c>
      <c r="CT38" s="206"/>
      <c r="CU38" s="195"/>
      <c r="CV38" s="2"/>
    </row>
    <row r="39" spans="1:100" ht="14" x14ac:dyDescent="0.25">
      <c r="A39" s="32">
        <v>3122029</v>
      </c>
      <c r="B39" s="184">
        <v>2029</v>
      </c>
      <c r="C39" s="179" t="s">
        <v>100</v>
      </c>
      <c r="D39" s="124">
        <v>379</v>
      </c>
      <c r="E39" s="124">
        <v>379</v>
      </c>
      <c r="F39" s="124">
        <v>0</v>
      </c>
      <c r="G39" s="124">
        <v>0</v>
      </c>
      <c r="H39" s="124">
        <v>0</v>
      </c>
      <c r="I39" s="124">
        <f t="shared" si="22"/>
        <v>88.999999999999872</v>
      </c>
      <c r="J39" s="124">
        <f t="shared" si="23"/>
        <v>0</v>
      </c>
      <c r="K39" s="124">
        <f t="shared" si="24"/>
        <v>88.999999999999872</v>
      </c>
      <c r="L39" s="124">
        <f t="shared" si="25"/>
        <v>0</v>
      </c>
      <c r="M39" s="124">
        <f t="shared" si="26"/>
        <v>132.70026525198941</v>
      </c>
      <c r="N39" s="124">
        <f t="shared" si="27"/>
        <v>96.509283819628791</v>
      </c>
      <c r="O39" s="124">
        <f t="shared" si="28"/>
        <v>3.015915119363394</v>
      </c>
      <c r="P39" s="124">
        <f t="shared" si="29"/>
        <v>5.0265251989389839</v>
      </c>
      <c r="Q39" s="124">
        <f t="shared" si="30"/>
        <v>1.005305039787797</v>
      </c>
      <c r="R39" s="124">
        <f t="shared" si="31"/>
        <v>0</v>
      </c>
      <c r="S39" s="124">
        <f t="shared" si="32"/>
        <v>0</v>
      </c>
      <c r="T39" s="124">
        <f t="shared" si="33"/>
        <v>0</v>
      </c>
      <c r="U39" s="124">
        <f t="shared" si="34"/>
        <v>0</v>
      </c>
      <c r="V39" s="124">
        <f t="shared" si="35"/>
        <v>0</v>
      </c>
      <c r="W39" s="124">
        <f t="shared" si="36"/>
        <v>0</v>
      </c>
      <c r="X39" s="124">
        <f t="shared" si="37"/>
        <v>0</v>
      </c>
      <c r="Y39" s="124">
        <f t="shared" si="38"/>
        <v>123.61230769230764</v>
      </c>
      <c r="Z39" s="124">
        <f t="shared" si="39"/>
        <v>0</v>
      </c>
      <c r="AA39" s="124">
        <f t="shared" si="40"/>
        <v>147.93424955802163</v>
      </c>
      <c r="AB39" s="124">
        <f t="shared" si="41"/>
        <v>0</v>
      </c>
      <c r="AC39" s="124">
        <f t="shared" si="42"/>
        <v>7.339365079365094</v>
      </c>
      <c r="AD39" s="124">
        <f t="shared" si="43"/>
        <v>0</v>
      </c>
      <c r="AE39" s="127">
        <v>1619228.23</v>
      </c>
      <c r="AF39" s="63">
        <v>0</v>
      </c>
      <c r="AG39" s="130">
        <v>0</v>
      </c>
      <c r="AH39" s="130">
        <v>48476.519999999924</v>
      </c>
      <c r="AI39" s="130">
        <v>0</v>
      </c>
      <c r="AJ39" s="130">
        <v>103807.96239999984</v>
      </c>
      <c r="AK39" s="130">
        <v>0</v>
      </c>
      <c r="AL39" s="130">
        <v>34314.245010079583</v>
      </c>
      <c r="AM39" s="130">
        <v>30265.56232997352</v>
      </c>
      <c r="AN39" s="134">
        <v>1476.7736005305032</v>
      </c>
      <c r="AO39" s="64">
        <v>2710.1837612732047</v>
      </c>
      <c r="AP39" s="64">
        <v>575.22267586206806</v>
      </c>
      <c r="AQ39" s="64">
        <v>0</v>
      </c>
      <c r="AR39" s="64">
        <v>0</v>
      </c>
      <c r="AS39" s="64">
        <v>0</v>
      </c>
      <c r="AT39" s="64">
        <v>0</v>
      </c>
      <c r="AU39" s="64">
        <v>0</v>
      </c>
      <c r="AV39" s="64">
        <v>0</v>
      </c>
      <c r="AW39" s="64">
        <v>0</v>
      </c>
      <c r="AX39" s="64">
        <v>80930.213969230739</v>
      </c>
      <c r="AY39" s="64">
        <v>0</v>
      </c>
      <c r="AZ39" s="64">
        <v>191267.14993855736</v>
      </c>
      <c r="BA39" s="64">
        <v>0</v>
      </c>
      <c r="BB39" s="64">
        <v>7793.3048095238246</v>
      </c>
      <c r="BC39" s="142">
        <v>0</v>
      </c>
      <c r="BD39" s="142">
        <v>0</v>
      </c>
      <c r="BE39" s="142">
        <v>159662.24</v>
      </c>
      <c r="BF39" s="142"/>
      <c r="BG39" s="142">
        <v>70142.695999999996</v>
      </c>
      <c r="BH39" s="142"/>
      <c r="BI39" s="134">
        <v>0</v>
      </c>
      <c r="BJ39" s="64"/>
      <c r="BK39" s="64"/>
      <c r="BL39" s="142">
        <v>1619228.23</v>
      </c>
      <c r="BM39" s="142">
        <v>501617.13849503058</v>
      </c>
      <c r="BN39" s="142">
        <v>229804.932</v>
      </c>
      <c r="BO39" s="142">
        <v>323311.11221993162</v>
      </c>
      <c r="BP39" s="142">
        <v>2350650.3004950304</v>
      </c>
      <c r="BQ39" s="142">
        <v>2350650.3004950308</v>
      </c>
      <c r="BR39" s="142">
        <v>0</v>
      </c>
      <c r="BS39" s="142">
        <v>2120845.3684950303</v>
      </c>
      <c r="BT39" s="142">
        <v>5595.898069907732</v>
      </c>
      <c r="BU39" s="142">
        <v>5400.9045624678656</v>
      </c>
      <c r="BV39" s="148">
        <v>3.6103860970793912E-2</v>
      </c>
      <c r="BW39" s="148">
        <v>0</v>
      </c>
      <c r="BX39" s="142">
        <v>0</v>
      </c>
      <c r="BY39" s="219">
        <v>2350650.3004950304</v>
      </c>
      <c r="BZ39" s="142">
        <v>485.12</v>
      </c>
      <c r="CA39" s="142">
        <v>4176.58</v>
      </c>
      <c r="CB39" s="188">
        <v>2345988.6004950302</v>
      </c>
      <c r="CC39" s="2"/>
      <c r="CD39" s="212">
        <f>IFERROR(VLOOKUP(B39,#REF!,29,0),0)</f>
        <v>0</v>
      </c>
      <c r="CE39" s="193">
        <f>IFERROR(VLOOKUP(B39,#REF!,28,0),0)</f>
        <v>0</v>
      </c>
      <c r="CF39" s="142"/>
      <c r="CG39" s="194"/>
      <c r="CH39" s="229">
        <v>0</v>
      </c>
      <c r="CI39" s="229">
        <v>0</v>
      </c>
      <c r="CJ39" s="226">
        <v>53990</v>
      </c>
      <c r="CL39" s="401">
        <v>122840</v>
      </c>
      <c r="CM39" s="402" t="s">
        <v>266</v>
      </c>
      <c r="CN39" s="402">
        <v>5060</v>
      </c>
      <c r="CO39" s="402">
        <v>8067</v>
      </c>
      <c r="CP39" s="402">
        <v>20135.25</v>
      </c>
      <c r="CQ39" s="402">
        <v>58392.225000000006</v>
      </c>
      <c r="CR39" s="402">
        <v>50245.5</v>
      </c>
      <c r="CS39" s="402">
        <v>8704.75</v>
      </c>
      <c r="CT39" s="206"/>
      <c r="CU39" s="195"/>
      <c r="CV39" s="2"/>
    </row>
    <row r="40" spans="1:100" ht="14" hidden="1" x14ac:dyDescent="0.25">
      <c r="A40" s="32">
        <v>3122061</v>
      </c>
      <c r="B40" s="184">
        <v>2061</v>
      </c>
      <c r="C40" s="179" t="s">
        <v>102</v>
      </c>
      <c r="D40" s="124">
        <v>409</v>
      </c>
      <c r="E40" s="124">
        <v>409</v>
      </c>
      <c r="F40" s="124">
        <v>0</v>
      </c>
      <c r="G40" s="124">
        <v>0</v>
      </c>
      <c r="H40" s="124">
        <v>0</v>
      </c>
      <c r="I40" s="124">
        <f t="shared" si="22"/>
        <v>91.999999999999815</v>
      </c>
      <c r="J40" s="124">
        <f t="shared" si="23"/>
        <v>0</v>
      </c>
      <c r="K40" s="124">
        <f t="shared" si="24"/>
        <v>94.000000000000114</v>
      </c>
      <c r="L40" s="124">
        <f t="shared" si="25"/>
        <v>0</v>
      </c>
      <c r="M40" s="124">
        <f t="shared" si="26"/>
        <v>70.000000000000114</v>
      </c>
      <c r="N40" s="124">
        <f t="shared" si="27"/>
        <v>41.999999999999901</v>
      </c>
      <c r="O40" s="124">
        <f t="shared" si="28"/>
        <v>31.000000000000011</v>
      </c>
      <c r="P40" s="124">
        <f t="shared" si="29"/>
        <v>2.0000000000000004</v>
      </c>
      <c r="Q40" s="124">
        <f t="shared" si="30"/>
        <v>0</v>
      </c>
      <c r="R40" s="124">
        <f t="shared" si="31"/>
        <v>0</v>
      </c>
      <c r="S40" s="124">
        <f t="shared" si="32"/>
        <v>0</v>
      </c>
      <c r="T40" s="124">
        <f t="shared" si="33"/>
        <v>0</v>
      </c>
      <c r="U40" s="124">
        <f t="shared" si="34"/>
        <v>0</v>
      </c>
      <c r="V40" s="124">
        <f t="shared" si="35"/>
        <v>0</v>
      </c>
      <c r="W40" s="124">
        <f t="shared" si="36"/>
        <v>0</v>
      </c>
      <c r="X40" s="124">
        <f t="shared" si="37"/>
        <v>0</v>
      </c>
      <c r="Y40" s="124">
        <f t="shared" si="38"/>
        <v>82.706371191135545</v>
      </c>
      <c r="Z40" s="124">
        <f t="shared" si="39"/>
        <v>0</v>
      </c>
      <c r="AA40" s="124">
        <f t="shared" si="40"/>
        <v>116.07789213999301</v>
      </c>
      <c r="AB40" s="124">
        <f t="shared" si="41"/>
        <v>0</v>
      </c>
      <c r="AC40" s="124">
        <f t="shared" si="42"/>
        <v>0</v>
      </c>
      <c r="AD40" s="124">
        <f t="shared" si="43"/>
        <v>0</v>
      </c>
      <c r="AE40" s="127">
        <v>1747399.3299999998</v>
      </c>
      <c r="AF40" s="63">
        <v>0</v>
      </c>
      <c r="AG40" s="130">
        <v>0</v>
      </c>
      <c r="AH40" s="130">
        <v>50110.559999999896</v>
      </c>
      <c r="AI40" s="130">
        <v>0</v>
      </c>
      <c r="AJ40" s="130">
        <v>109639.87040000013</v>
      </c>
      <c r="AK40" s="130">
        <v>0</v>
      </c>
      <c r="AL40" s="130">
        <v>18100.922000000031</v>
      </c>
      <c r="AM40" s="130">
        <v>13171.309199999969</v>
      </c>
      <c r="AN40" s="134">
        <v>15179.466200000004</v>
      </c>
      <c r="AO40" s="64">
        <v>1078.3528000000001</v>
      </c>
      <c r="AP40" s="64">
        <v>0</v>
      </c>
      <c r="AQ40" s="64">
        <v>0</v>
      </c>
      <c r="AR40" s="64">
        <v>0</v>
      </c>
      <c r="AS40" s="64">
        <v>0</v>
      </c>
      <c r="AT40" s="64">
        <v>0</v>
      </c>
      <c r="AU40" s="64">
        <v>0</v>
      </c>
      <c r="AV40" s="64">
        <v>0</v>
      </c>
      <c r="AW40" s="64">
        <v>0</v>
      </c>
      <c r="AX40" s="64">
        <v>54148.688282548355</v>
      </c>
      <c r="AY40" s="64">
        <v>0</v>
      </c>
      <c r="AZ40" s="64">
        <v>150079.42830563977</v>
      </c>
      <c r="BA40" s="64">
        <v>0</v>
      </c>
      <c r="BB40" s="64">
        <v>0</v>
      </c>
      <c r="BC40" s="142">
        <v>0</v>
      </c>
      <c r="BD40" s="142">
        <v>0</v>
      </c>
      <c r="BE40" s="142"/>
      <c r="BF40" s="142">
        <v>159662.24</v>
      </c>
      <c r="BG40" s="142">
        <v>69800.639999999999</v>
      </c>
      <c r="BH40" s="142"/>
      <c r="BI40" s="134">
        <v>0</v>
      </c>
      <c r="BJ40" s="64"/>
      <c r="BK40" s="64"/>
      <c r="BL40" s="142">
        <v>1747399.3299999998</v>
      </c>
      <c r="BM40" s="142">
        <v>411508.59718818811</v>
      </c>
      <c r="BN40" s="142">
        <v>229462.87599999999</v>
      </c>
      <c r="BO40" s="142">
        <v>280615.00548930146</v>
      </c>
      <c r="BP40" s="142">
        <v>2388370.803188188</v>
      </c>
      <c r="BQ40" s="142">
        <v>2388370.803188188</v>
      </c>
      <c r="BR40" s="142">
        <v>0</v>
      </c>
      <c r="BS40" s="142">
        <v>2158907.9271881878</v>
      </c>
      <c r="BT40" s="142">
        <v>5278.503489457672</v>
      </c>
      <c r="BU40" s="142">
        <v>5309.1870445238101</v>
      </c>
      <c r="BV40" s="148">
        <v>-5.7793320914897488E-3</v>
      </c>
      <c r="BW40" s="148">
        <v>5.7793320914897488E-3</v>
      </c>
      <c r="BX40" s="142">
        <v>12549.57402205047</v>
      </c>
      <c r="BY40" s="219">
        <v>2400920.3772102385</v>
      </c>
      <c r="BZ40" s="142">
        <v>0</v>
      </c>
      <c r="CA40" s="142">
        <v>0</v>
      </c>
      <c r="CB40" s="188">
        <v>2400920.3772102385</v>
      </c>
      <c r="CC40" s="2"/>
      <c r="CD40" s="212">
        <f>IFERROR(VLOOKUP(B40,#REF!,29,0),0)</f>
        <v>0</v>
      </c>
      <c r="CE40" s="193">
        <f>IFERROR(VLOOKUP(B40,#REF!,28,0),0)</f>
        <v>0</v>
      </c>
      <c r="CF40" s="142"/>
      <c r="CG40" s="194"/>
      <c r="CH40" s="229">
        <v>0</v>
      </c>
      <c r="CI40" s="229">
        <v>0</v>
      </c>
      <c r="CJ40" s="226">
        <v>84077</v>
      </c>
      <c r="CL40" s="401">
        <v>0</v>
      </c>
      <c r="CM40" s="402">
        <v>0</v>
      </c>
      <c r="CN40" s="402">
        <v>0</v>
      </c>
      <c r="CO40" s="402">
        <v>0</v>
      </c>
      <c r="CP40" s="402">
        <v>23469.75</v>
      </c>
      <c r="CQ40" s="402">
        <v>68062.274999999994</v>
      </c>
      <c r="CR40" s="402">
        <v>0</v>
      </c>
      <c r="CS40" s="402">
        <v>0</v>
      </c>
      <c r="CT40" s="206"/>
      <c r="CU40" s="195"/>
      <c r="CV40" s="2"/>
    </row>
    <row r="41" spans="1:100" ht="14" hidden="1" x14ac:dyDescent="0.25">
      <c r="A41" s="32">
        <v>3125407</v>
      </c>
      <c r="B41" s="184">
        <v>5407</v>
      </c>
      <c r="C41" s="179" t="s">
        <v>104</v>
      </c>
      <c r="D41" s="124">
        <v>415</v>
      </c>
      <c r="E41" s="124">
        <v>0</v>
      </c>
      <c r="F41" s="124">
        <v>415</v>
      </c>
      <c r="G41" s="124">
        <v>243</v>
      </c>
      <c r="H41" s="124">
        <v>172</v>
      </c>
      <c r="I41" s="124">
        <f t="shared" si="22"/>
        <v>0</v>
      </c>
      <c r="J41" s="124">
        <f t="shared" si="23"/>
        <v>107.00000000000007</v>
      </c>
      <c r="K41" s="124">
        <f t="shared" si="24"/>
        <v>0</v>
      </c>
      <c r="L41" s="124">
        <f t="shared" si="25"/>
        <v>163.99999999999991</v>
      </c>
      <c r="M41" s="124">
        <f t="shared" si="26"/>
        <v>0</v>
      </c>
      <c r="N41" s="124">
        <f t="shared" si="27"/>
        <v>0</v>
      </c>
      <c r="O41" s="124">
        <f t="shared" si="28"/>
        <v>0</v>
      </c>
      <c r="P41" s="124">
        <f t="shared" si="29"/>
        <v>0</v>
      </c>
      <c r="Q41" s="124">
        <f t="shared" si="30"/>
        <v>0</v>
      </c>
      <c r="R41" s="124">
        <f t="shared" si="31"/>
        <v>0</v>
      </c>
      <c r="S41" s="124">
        <f t="shared" si="32"/>
        <v>122.0000000000001</v>
      </c>
      <c r="T41" s="124">
        <f t="shared" si="33"/>
        <v>103.99999999999991</v>
      </c>
      <c r="U41" s="124">
        <f t="shared" si="34"/>
        <v>2.9999999999999987</v>
      </c>
      <c r="V41" s="124">
        <f t="shared" si="35"/>
        <v>4.999999999999984</v>
      </c>
      <c r="W41" s="124">
        <f t="shared" si="36"/>
        <v>8.9999999999999964</v>
      </c>
      <c r="X41" s="124">
        <f t="shared" si="37"/>
        <v>0</v>
      </c>
      <c r="Y41" s="124">
        <f t="shared" si="38"/>
        <v>0</v>
      </c>
      <c r="Z41" s="124">
        <f t="shared" si="39"/>
        <v>146.00034938777387</v>
      </c>
      <c r="AA41" s="124">
        <f t="shared" si="40"/>
        <v>0</v>
      </c>
      <c r="AB41" s="124">
        <f t="shared" si="41"/>
        <v>146.40491289550715</v>
      </c>
      <c r="AC41" s="124">
        <f t="shared" si="42"/>
        <v>0</v>
      </c>
      <c r="AD41" s="124">
        <f t="shared" si="43"/>
        <v>30.232850241546014</v>
      </c>
      <c r="AE41" s="127">
        <v>0</v>
      </c>
      <c r="AF41" s="63">
        <v>1420578</v>
      </c>
      <c r="AG41" s="130">
        <v>1133480</v>
      </c>
      <c r="AH41" s="130">
        <v>0</v>
      </c>
      <c r="AI41" s="130">
        <v>58280.760000000031</v>
      </c>
      <c r="AJ41" s="130">
        <v>0</v>
      </c>
      <c r="AK41" s="130">
        <v>280613.80719999986</v>
      </c>
      <c r="AL41" s="130">
        <v>0</v>
      </c>
      <c r="AM41" s="130">
        <v>0</v>
      </c>
      <c r="AN41" s="134">
        <v>0</v>
      </c>
      <c r="AO41" s="64">
        <v>0</v>
      </c>
      <c r="AP41" s="64">
        <v>0</v>
      </c>
      <c r="AQ41" s="64">
        <v>0</v>
      </c>
      <c r="AR41" s="64">
        <v>45642.932800000039</v>
      </c>
      <c r="AS41" s="64">
        <v>51496.847999999954</v>
      </c>
      <c r="AT41" s="64">
        <v>2096.1857999999993</v>
      </c>
      <c r="AU41" s="64">
        <v>3823.7509999999875</v>
      </c>
      <c r="AV41" s="64">
        <v>7377.9137999999966</v>
      </c>
      <c r="AW41" s="64">
        <v>0</v>
      </c>
      <c r="AX41" s="64">
        <v>0</v>
      </c>
      <c r="AY41" s="64">
        <v>256240.83320000026</v>
      </c>
      <c r="AZ41" s="64">
        <v>0</v>
      </c>
      <c r="BA41" s="64">
        <v>287559.74561458145</v>
      </c>
      <c r="BB41" s="64">
        <v>0</v>
      </c>
      <c r="BC41" s="142">
        <v>46074.863768116127</v>
      </c>
      <c r="BD41" s="142">
        <v>0</v>
      </c>
      <c r="BE41" s="142"/>
      <c r="BF41" s="142">
        <v>159662.24</v>
      </c>
      <c r="BG41" s="142">
        <v>45834.879999999997</v>
      </c>
      <c r="BH41" s="142"/>
      <c r="BI41" s="134">
        <v>0</v>
      </c>
      <c r="BJ41" s="64"/>
      <c r="BK41" s="64"/>
      <c r="BL41" s="142">
        <v>2554058</v>
      </c>
      <c r="BM41" s="142">
        <v>1039207.6411826976</v>
      </c>
      <c r="BN41" s="142">
        <v>205497.11600000001</v>
      </c>
      <c r="BO41" s="142">
        <v>434090.04241302836</v>
      </c>
      <c r="BP41" s="142">
        <v>3798762.7571826973</v>
      </c>
      <c r="BQ41" s="142">
        <v>0</v>
      </c>
      <c r="BR41" s="142">
        <v>3798762.7571826978</v>
      </c>
      <c r="BS41" s="142">
        <v>3593265.6411826974</v>
      </c>
      <c r="BT41" s="142">
        <v>8658.4714245366195</v>
      </c>
      <c r="BU41" s="142">
        <v>8515.4384256900212</v>
      </c>
      <c r="BV41" s="148">
        <v>1.6796903658546278E-2</v>
      </c>
      <c r="BW41" s="148">
        <v>0</v>
      </c>
      <c r="BX41" s="142">
        <v>0</v>
      </c>
      <c r="BY41" s="219">
        <v>3798762.7571826973</v>
      </c>
      <c r="BZ41" s="142">
        <v>0</v>
      </c>
      <c r="CA41" s="142">
        <v>0</v>
      </c>
      <c r="CB41" s="188">
        <v>3798762.7571826973</v>
      </c>
      <c r="CC41" s="2"/>
      <c r="CD41" s="212">
        <f>IFERROR(VLOOKUP(B41,#REF!,29,0),0)</f>
        <v>0</v>
      </c>
      <c r="CE41" s="193">
        <f>IFERROR(VLOOKUP(B41,#REF!,28,0),0)</f>
        <v>0</v>
      </c>
      <c r="CF41" s="142"/>
      <c r="CG41" s="194"/>
      <c r="CH41" s="229">
        <v>0</v>
      </c>
      <c r="CI41" s="229">
        <v>0</v>
      </c>
      <c r="CJ41" s="226">
        <v>53790</v>
      </c>
      <c r="CL41" s="401">
        <v>0</v>
      </c>
      <c r="CM41" s="402">
        <v>0</v>
      </c>
      <c r="CN41" s="402">
        <v>0</v>
      </c>
      <c r="CO41" s="402">
        <v>0</v>
      </c>
      <c r="CP41" s="402">
        <v>0</v>
      </c>
      <c r="CQ41" s="402">
        <v>0</v>
      </c>
      <c r="CR41" s="402">
        <v>0</v>
      </c>
      <c r="CS41" s="402">
        <v>0</v>
      </c>
      <c r="CT41" s="206"/>
      <c r="CU41" s="195"/>
      <c r="CV41" s="2"/>
    </row>
    <row r="42" spans="1:100" ht="14" hidden="1" x14ac:dyDescent="0.25">
      <c r="A42" s="32">
        <v>3122021</v>
      </c>
      <c r="B42" s="184">
        <v>2021</v>
      </c>
      <c r="C42" s="179" t="s">
        <v>106</v>
      </c>
      <c r="D42" s="124">
        <v>376</v>
      </c>
      <c r="E42" s="124">
        <v>376</v>
      </c>
      <c r="F42" s="124">
        <v>0</v>
      </c>
      <c r="G42" s="124">
        <v>0</v>
      </c>
      <c r="H42" s="124">
        <v>0</v>
      </c>
      <c r="I42" s="124">
        <f t="shared" si="22"/>
        <v>85.999999999999943</v>
      </c>
      <c r="J42" s="124">
        <f t="shared" si="23"/>
        <v>0</v>
      </c>
      <c r="K42" s="124">
        <f t="shared" si="24"/>
        <v>95.999999999999929</v>
      </c>
      <c r="L42" s="124">
        <f t="shared" si="25"/>
        <v>0</v>
      </c>
      <c r="M42" s="124">
        <f t="shared" si="26"/>
        <v>100.00000000000014</v>
      </c>
      <c r="N42" s="124">
        <f t="shared" si="27"/>
        <v>64.000000000000071</v>
      </c>
      <c r="O42" s="124">
        <f t="shared" si="28"/>
        <v>4.9999999999999885</v>
      </c>
      <c r="P42" s="124">
        <f t="shared" si="29"/>
        <v>0</v>
      </c>
      <c r="Q42" s="124">
        <f t="shared" si="30"/>
        <v>1.9999999999999989</v>
      </c>
      <c r="R42" s="124">
        <f t="shared" si="31"/>
        <v>0</v>
      </c>
      <c r="S42" s="124">
        <f t="shared" si="32"/>
        <v>0</v>
      </c>
      <c r="T42" s="124">
        <f t="shared" si="33"/>
        <v>0</v>
      </c>
      <c r="U42" s="124">
        <f t="shared" si="34"/>
        <v>0</v>
      </c>
      <c r="V42" s="124">
        <f t="shared" si="35"/>
        <v>0</v>
      </c>
      <c r="W42" s="124">
        <f t="shared" si="36"/>
        <v>0</v>
      </c>
      <c r="X42" s="124">
        <f t="shared" si="37"/>
        <v>0</v>
      </c>
      <c r="Y42" s="124">
        <f t="shared" si="38"/>
        <v>149.93865030674834</v>
      </c>
      <c r="Z42" s="124">
        <f t="shared" si="39"/>
        <v>0</v>
      </c>
      <c r="AA42" s="124">
        <f t="shared" si="40"/>
        <v>59.942168070746135</v>
      </c>
      <c r="AB42" s="124">
        <f t="shared" si="41"/>
        <v>0</v>
      </c>
      <c r="AC42" s="124">
        <f t="shared" si="42"/>
        <v>4.4400000000000137</v>
      </c>
      <c r="AD42" s="124">
        <f t="shared" si="43"/>
        <v>0</v>
      </c>
      <c r="AE42" s="127">
        <v>1606411.1199999999</v>
      </c>
      <c r="AF42" s="63">
        <v>0</v>
      </c>
      <c r="AG42" s="130">
        <v>0</v>
      </c>
      <c r="AH42" s="130">
        <v>46842.479999999967</v>
      </c>
      <c r="AI42" s="130">
        <v>0</v>
      </c>
      <c r="AJ42" s="130">
        <v>111972.63359999991</v>
      </c>
      <c r="AK42" s="130">
        <v>0</v>
      </c>
      <c r="AL42" s="130">
        <v>25858.460000000039</v>
      </c>
      <c r="AM42" s="130">
        <v>20070.566400000022</v>
      </c>
      <c r="AN42" s="134">
        <v>2448.300999999994</v>
      </c>
      <c r="AO42" s="64">
        <v>0</v>
      </c>
      <c r="AP42" s="64">
        <v>1144.3743999999992</v>
      </c>
      <c r="AQ42" s="64">
        <v>0</v>
      </c>
      <c r="AR42" s="64">
        <v>0</v>
      </c>
      <c r="AS42" s="64">
        <v>0</v>
      </c>
      <c r="AT42" s="64">
        <v>0</v>
      </c>
      <c r="AU42" s="64">
        <v>0</v>
      </c>
      <c r="AV42" s="64">
        <v>0</v>
      </c>
      <c r="AW42" s="64">
        <v>0</v>
      </c>
      <c r="AX42" s="64">
        <v>98166.333742331219</v>
      </c>
      <c r="AY42" s="64">
        <v>0</v>
      </c>
      <c r="AZ42" s="64">
        <v>77500.427942029099</v>
      </c>
      <c r="BA42" s="64">
        <v>0</v>
      </c>
      <c r="BB42" s="64">
        <v>4714.6140000000141</v>
      </c>
      <c r="BC42" s="142">
        <v>0</v>
      </c>
      <c r="BD42" s="142">
        <v>0</v>
      </c>
      <c r="BE42" s="142">
        <v>159662.24</v>
      </c>
      <c r="BF42" s="142"/>
      <c r="BG42" s="142">
        <v>0</v>
      </c>
      <c r="BH42" s="142"/>
      <c r="BI42" s="134">
        <v>0</v>
      </c>
      <c r="BJ42" s="64"/>
      <c r="BK42" s="64"/>
      <c r="BL42" s="142">
        <v>1606411.1199999999</v>
      </c>
      <c r="BM42" s="142">
        <v>388718.19108436024</v>
      </c>
      <c r="BN42" s="142">
        <v>159662.236</v>
      </c>
      <c r="BO42" s="142">
        <v>210109.78676750732</v>
      </c>
      <c r="BP42" s="142">
        <v>2154791.5470843599</v>
      </c>
      <c r="BQ42" s="142">
        <v>2154791.5470843604</v>
      </c>
      <c r="BR42" s="142">
        <v>0</v>
      </c>
      <c r="BS42" s="142">
        <v>1995129.3110843599</v>
      </c>
      <c r="BT42" s="142">
        <v>5306.1949762881914</v>
      </c>
      <c r="BU42" s="142">
        <v>5316.6311835078532</v>
      </c>
      <c r="BV42" s="148">
        <v>-1.9629360885582659E-3</v>
      </c>
      <c r="BW42" s="148">
        <v>1.9629360885582659E-3</v>
      </c>
      <c r="BX42" s="142">
        <v>3924.0139145928406</v>
      </c>
      <c r="BY42" s="219">
        <v>2158715.5609989529</v>
      </c>
      <c r="BZ42" s="142">
        <v>0</v>
      </c>
      <c r="CA42" s="142">
        <v>0</v>
      </c>
      <c r="CB42" s="188">
        <v>2158715.5609989529</v>
      </c>
      <c r="CC42" s="2"/>
      <c r="CD42" s="212">
        <f>IFERROR(VLOOKUP(B42,#REF!,29,0),0)</f>
        <v>0</v>
      </c>
      <c r="CE42" s="193">
        <f>IFERROR(VLOOKUP(B42,#REF!,28,0),0)</f>
        <v>0</v>
      </c>
      <c r="CF42" s="142"/>
      <c r="CG42" s="194"/>
      <c r="CH42" s="229">
        <v>0</v>
      </c>
      <c r="CI42" s="229">
        <v>0</v>
      </c>
      <c r="CJ42" s="226">
        <v>65700</v>
      </c>
      <c r="CL42" s="401">
        <v>0</v>
      </c>
      <c r="CM42" s="402">
        <v>0</v>
      </c>
      <c r="CN42" s="402">
        <v>0</v>
      </c>
      <c r="CO42" s="402">
        <v>0</v>
      </c>
      <c r="CP42" s="402">
        <v>21930.75</v>
      </c>
      <c r="CQ42" s="402">
        <v>63599.174999999996</v>
      </c>
      <c r="CR42" s="402">
        <v>0</v>
      </c>
      <c r="CS42" s="402">
        <v>0</v>
      </c>
      <c r="CT42" s="206"/>
      <c r="CU42" s="195"/>
      <c r="CV42" s="2"/>
    </row>
    <row r="43" spans="1:100" ht="14" x14ac:dyDescent="0.25">
      <c r="A43" s="32">
        <v>3122063</v>
      </c>
      <c r="B43" s="184">
        <v>2063</v>
      </c>
      <c r="C43" s="179" t="s">
        <v>108</v>
      </c>
      <c r="D43" s="124">
        <v>249</v>
      </c>
      <c r="E43" s="124">
        <v>249</v>
      </c>
      <c r="F43" s="124">
        <v>0</v>
      </c>
      <c r="G43" s="124">
        <v>0</v>
      </c>
      <c r="H43" s="124">
        <v>0</v>
      </c>
      <c r="I43" s="124">
        <f t="shared" si="22"/>
        <v>71</v>
      </c>
      <c r="J43" s="124">
        <f t="shared" si="23"/>
        <v>0</v>
      </c>
      <c r="K43" s="124">
        <f t="shared" si="24"/>
        <v>71</v>
      </c>
      <c r="L43" s="124">
        <f t="shared" si="25"/>
        <v>0</v>
      </c>
      <c r="M43" s="124">
        <f t="shared" si="26"/>
        <v>49.000000000000121</v>
      </c>
      <c r="N43" s="124">
        <f t="shared" si="27"/>
        <v>69.000000000000057</v>
      </c>
      <c r="O43" s="124">
        <f t="shared" si="28"/>
        <v>3.9999999999999876</v>
      </c>
      <c r="P43" s="124">
        <f t="shared" si="29"/>
        <v>0.99999999999999933</v>
      </c>
      <c r="Q43" s="124">
        <f t="shared" si="30"/>
        <v>2.9999999999999907</v>
      </c>
      <c r="R43" s="124">
        <f t="shared" si="31"/>
        <v>0</v>
      </c>
      <c r="S43" s="124">
        <f t="shared" si="32"/>
        <v>0</v>
      </c>
      <c r="T43" s="124">
        <f t="shared" si="33"/>
        <v>0</v>
      </c>
      <c r="U43" s="124">
        <f t="shared" si="34"/>
        <v>0</v>
      </c>
      <c r="V43" s="124">
        <f t="shared" si="35"/>
        <v>0</v>
      </c>
      <c r="W43" s="124">
        <f t="shared" si="36"/>
        <v>0</v>
      </c>
      <c r="X43" s="124">
        <f t="shared" si="37"/>
        <v>0</v>
      </c>
      <c r="Y43" s="124">
        <f t="shared" si="38"/>
        <v>53.104265402843652</v>
      </c>
      <c r="Z43" s="124">
        <f t="shared" si="39"/>
        <v>0</v>
      </c>
      <c r="AA43" s="124">
        <f t="shared" si="40"/>
        <v>53.333134023448643</v>
      </c>
      <c r="AB43" s="124">
        <f t="shared" si="41"/>
        <v>0</v>
      </c>
      <c r="AC43" s="124">
        <f t="shared" si="42"/>
        <v>15.180967741935516</v>
      </c>
      <c r="AD43" s="124">
        <f t="shared" si="43"/>
        <v>0</v>
      </c>
      <c r="AE43" s="127">
        <v>1063820.1299999999</v>
      </c>
      <c r="AF43" s="63">
        <v>0</v>
      </c>
      <c r="AG43" s="130">
        <v>0</v>
      </c>
      <c r="AH43" s="130">
        <v>38672.28</v>
      </c>
      <c r="AI43" s="130">
        <v>0</v>
      </c>
      <c r="AJ43" s="130">
        <v>82813.093599999993</v>
      </c>
      <c r="AK43" s="130">
        <v>0</v>
      </c>
      <c r="AL43" s="130">
        <v>12670.645400000032</v>
      </c>
      <c r="AM43" s="130">
        <v>21638.579400000017</v>
      </c>
      <c r="AN43" s="134">
        <v>1958.6407999999938</v>
      </c>
      <c r="AO43" s="64">
        <v>539.1763999999996</v>
      </c>
      <c r="AP43" s="64">
        <v>1716.5615999999945</v>
      </c>
      <c r="AQ43" s="64">
        <v>0</v>
      </c>
      <c r="AR43" s="64">
        <v>0</v>
      </c>
      <c r="AS43" s="64">
        <v>0</v>
      </c>
      <c r="AT43" s="64">
        <v>0</v>
      </c>
      <c r="AU43" s="64">
        <v>0</v>
      </c>
      <c r="AV43" s="64">
        <v>0</v>
      </c>
      <c r="AW43" s="64">
        <v>0</v>
      </c>
      <c r="AX43" s="64">
        <v>34767.893601895768</v>
      </c>
      <c r="AY43" s="64">
        <v>0</v>
      </c>
      <c r="AZ43" s="64">
        <v>68955.475641597222</v>
      </c>
      <c r="BA43" s="64">
        <v>0</v>
      </c>
      <c r="BB43" s="64">
        <v>16119.910596774227</v>
      </c>
      <c r="BC43" s="142">
        <v>0</v>
      </c>
      <c r="BD43" s="142">
        <v>0</v>
      </c>
      <c r="BE43" s="142">
        <v>159662.24</v>
      </c>
      <c r="BF43" s="142"/>
      <c r="BG43" s="142">
        <v>63492.78</v>
      </c>
      <c r="BH43" s="142"/>
      <c r="BI43" s="134">
        <v>0</v>
      </c>
      <c r="BJ43" s="64"/>
      <c r="BK43" s="64"/>
      <c r="BL43" s="142">
        <v>1063820.1299999999</v>
      </c>
      <c r="BM43" s="142">
        <v>279852.25704026729</v>
      </c>
      <c r="BN43" s="142">
        <v>223155.016</v>
      </c>
      <c r="BO43" s="142">
        <v>166526.27216252073</v>
      </c>
      <c r="BP43" s="142">
        <v>1566827.4030402673</v>
      </c>
      <c r="BQ43" s="142">
        <v>1566827.4030402671</v>
      </c>
      <c r="BR43" s="142">
        <v>0</v>
      </c>
      <c r="BS43" s="142">
        <v>1343672.3870402672</v>
      </c>
      <c r="BT43" s="142">
        <v>5396.2746467480611</v>
      </c>
      <c r="BU43" s="142">
        <v>5412.42913483146</v>
      </c>
      <c r="BV43" s="148">
        <v>-2.9847020036599548E-3</v>
      </c>
      <c r="BW43" s="148">
        <v>2.9847020036599548E-3</v>
      </c>
      <c r="BX43" s="142">
        <v>4022.4675327663444</v>
      </c>
      <c r="BY43" s="219">
        <v>1570849.8705730336</v>
      </c>
      <c r="BZ43" s="142">
        <v>318.72000000000003</v>
      </c>
      <c r="CA43" s="142">
        <v>2743.98</v>
      </c>
      <c r="CB43" s="188">
        <v>1567787.1705730336</v>
      </c>
      <c r="CC43" s="2"/>
      <c r="CD43" s="212">
        <f>IFERROR(VLOOKUP(B43,#REF!,29,0),0)</f>
        <v>0</v>
      </c>
      <c r="CE43" s="193">
        <f>IFERROR(VLOOKUP(B43,#REF!,28,0),0)</f>
        <v>0</v>
      </c>
      <c r="CF43" s="142"/>
      <c r="CG43" s="194"/>
      <c r="CH43" s="229">
        <v>0</v>
      </c>
      <c r="CI43" s="229">
        <v>0</v>
      </c>
      <c r="CJ43" s="226">
        <v>10000</v>
      </c>
      <c r="CL43" s="401">
        <v>111000</v>
      </c>
      <c r="CM43" s="402" t="s">
        <v>266</v>
      </c>
      <c r="CN43" s="402" t="s">
        <v>266</v>
      </c>
      <c r="CO43" s="402">
        <v>7771</v>
      </c>
      <c r="CP43" s="402">
        <v>16031.25</v>
      </c>
      <c r="CQ43" s="402">
        <v>46490.625</v>
      </c>
      <c r="CR43" s="402">
        <v>30147.300000000003</v>
      </c>
      <c r="CS43" s="402">
        <v>7636</v>
      </c>
      <c r="CT43" s="206"/>
      <c r="CU43" s="195"/>
      <c r="CV43" s="2"/>
    </row>
    <row r="44" spans="1:100" ht="14" hidden="1" x14ac:dyDescent="0.25">
      <c r="A44" s="32">
        <v>3122081</v>
      </c>
      <c r="B44" s="184">
        <v>2081</v>
      </c>
      <c r="C44" s="179" t="s">
        <v>110</v>
      </c>
      <c r="D44" s="124">
        <v>631</v>
      </c>
      <c r="E44" s="124">
        <v>631</v>
      </c>
      <c r="F44" s="124">
        <v>0</v>
      </c>
      <c r="G44" s="124">
        <v>0</v>
      </c>
      <c r="H44" s="124">
        <v>0</v>
      </c>
      <c r="I44" s="124">
        <f t="shared" si="22"/>
        <v>139.00000000000009</v>
      </c>
      <c r="J44" s="124">
        <f t="shared" si="23"/>
        <v>0</v>
      </c>
      <c r="K44" s="124">
        <f t="shared" si="24"/>
        <v>141.99999999999994</v>
      </c>
      <c r="L44" s="124">
        <f t="shared" si="25"/>
        <v>0</v>
      </c>
      <c r="M44" s="124">
        <f t="shared" si="26"/>
        <v>145.46104928457859</v>
      </c>
      <c r="N44" s="124">
        <f t="shared" si="27"/>
        <v>111.35294117647051</v>
      </c>
      <c r="O44" s="124">
        <f t="shared" si="28"/>
        <v>4.0127186009538978</v>
      </c>
      <c r="P44" s="124">
        <f t="shared" si="29"/>
        <v>0</v>
      </c>
      <c r="Q44" s="124">
        <f t="shared" si="30"/>
        <v>3.0095389507154198</v>
      </c>
      <c r="R44" s="124">
        <f t="shared" si="31"/>
        <v>0</v>
      </c>
      <c r="S44" s="124">
        <f t="shared" si="32"/>
        <v>0</v>
      </c>
      <c r="T44" s="124">
        <f t="shared" si="33"/>
        <v>0</v>
      </c>
      <c r="U44" s="124">
        <f t="shared" si="34"/>
        <v>0</v>
      </c>
      <c r="V44" s="124">
        <f t="shared" si="35"/>
        <v>0</v>
      </c>
      <c r="W44" s="124">
        <f t="shared" si="36"/>
        <v>0</v>
      </c>
      <c r="X44" s="124">
        <f t="shared" si="37"/>
        <v>0</v>
      </c>
      <c r="Y44" s="124">
        <f t="shared" si="38"/>
        <v>188.95009242144175</v>
      </c>
      <c r="Z44" s="124">
        <f t="shared" si="39"/>
        <v>0</v>
      </c>
      <c r="AA44" s="124">
        <f t="shared" si="40"/>
        <v>193.84181197318648</v>
      </c>
      <c r="AB44" s="124">
        <f t="shared" si="41"/>
        <v>0</v>
      </c>
      <c r="AC44" s="124">
        <f t="shared" si="42"/>
        <v>0</v>
      </c>
      <c r="AD44" s="124">
        <f t="shared" si="43"/>
        <v>0</v>
      </c>
      <c r="AE44" s="127">
        <v>2695865.4699999997</v>
      </c>
      <c r="AF44" s="63">
        <v>0</v>
      </c>
      <c r="AG44" s="130">
        <v>0</v>
      </c>
      <c r="AH44" s="130">
        <v>75710.520000000033</v>
      </c>
      <c r="AI44" s="130">
        <v>0</v>
      </c>
      <c r="AJ44" s="130">
        <v>165626.18719999993</v>
      </c>
      <c r="AK44" s="130">
        <v>0</v>
      </c>
      <c r="AL44" s="130">
        <v>37613.987244833042</v>
      </c>
      <c r="AM44" s="130">
        <v>34920.57187058821</v>
      </c>
      <c r="AN44" s="134">
        <v>1964.8685926868056</v>
      </c>
      <c r="AO44" s="64">
        <v>0</v>
      </c>
      <c r="AP44" s="64">
        <v>1722.019665500794</v>
      </c>
      <c r="AQ44" s="64">
        <v>0</v>
      </c>
      <c r="AR44" s="64">
        <v>0</v>
      </c>
      <c r="AS44" s="64">
        <v>0</v>
      </c>
      <c r="AT44" s="64">
        <v>0</v>
      </c>
      <c r="AU44" s="64">
        <v>0</v>
      </c>
      <c r="AV44" s="64">
        <v>0</v>
      </c>
      <c r="AW44" s="64">
        <v>0</v>
      </c>
      <c r="AX44" s="64">
        <v>123707.51500924214</v>
      </c>
      <c r="AY44" s="64">
        <v>0</v>
      </c>
      <c r="AZ44" s="64">
        <v>250621.95553637229</v>
      </c>
      <c r="BA44" s="64">
        <v>0</v>
      </c>
      <c r="BB44" s="64">
        <v>0</v>
      </c>
      <c r="BC44" s="142">
        <v>0</v>
      </c>
      <c r="BD44" s="142">
        <v>0</v>
      </c>
      <c r="BE44" s="142"/>
      <c r="BF44" s="142">
        <v>159662.24</v>
      </c>
      <c r="BG44" s="142">
        <v>15458.56</v>
      </c>
      <c r="BH44" s="142"/>
      <c r="BI44" s="134">
        <v>0</v>
      </c>
      <c r="BJ44" s="64"/>
      <c r="BK44" s="64"/>
      <c r="BL44" s="142">
        <v>2695865.4699999997</v>
      </c>
      <c r="BM44" s="142">
        <v>691887.62511922326</v>
      </c>
      <c r="BN44" s="142">
        <v>175120.796</v>
      </c>
      <c r="BO44" s="142">
        <v>447374.73341431393</v>
      </c>
      <c r="BP44" s="142">
        <v>3562873.8911192231</v>
      </c>
      <c r="BQ44" s="142">
        <v>3562873.8911192236</v>
      </c>
      <c r="BR44" s="142">
        <v>0</v>
      </c>
      <c r="BS44" s="142">
        <v>3387753.095119223</v>
      </c>
      <c r="BT44" s="142">
        <v>5368.8638591429844</v>
      </c>
      <c r="BU44" s="142">
        <v>5372.3682976114651</v>
      </c>
      <c r="BV44" s="148">
        <v>-6.5230793466611694E-4</v>
      </c>
      <c r="BW44" s="148">
        <v>6.5230793466611694E-4</v>
      </c>
      <c r="BX44" s="142">
        <v>2211.3006736112948</v>
      </c>
      <c r="BY44" s="219">
        <v>3565085.1917928346</v>
      </c>
      <c r="BZ44" s="142">
        <v>0</v>
      </c>
      <c r="CA44" s="142">
        <v>0</v>
      </c>
      <c r="CB44" s="188">
        <v>3565085.1917928346</v>
      </c>
      <c r="CC44" s="2"/>
      <c r="CD44" s="212">
        <f>IFERROR(VLOOKUP(B44,#REF!,29,0),0)</f>
        <v>0</v>
      </c>
      <c r="CE44" s="193">
        <f>IFERROR(VLOOKUP(B44,#REF!,28,0),0)</f>
        <v>0</v>
      </c>
      <c r="CF44" s="142"/>
      <c r="CG44" s="194"/>
      <c r="CH44" s="229">
        <v>0</v>
      </c>
      <c r="CI44" s="229">
        <v>0</v>
      </c>
      <c r="CJ44" s="226">
        <v>175902</v>
      </c>
      <c r="CL44" s="401">
        <v>0</v>
      </c>
      <c r="CM44" s="402">
        <v>0</v>
      </c>
      <c r="CN44" s="402">
        <v>0</v>
      </c>
      <c r="CO44" s="402">
        <v>0</v>
      </c>
      <c r="CP44" s="402">
        <v>34114.5</v>
      </c>
      <c r="CQ44" s="402">
        <v>98932.049999999988</v>
      </c>
      <c r="CR44" s="402">
        <v>0</v>
      </c>
      <c r="CS44" s="402">
        <v>0</v>
      </c>
      <c r="CT44" s="206"/>
      <c r="CU44" s="195"/>
      <c r="CV44" s="2"/>
    </row>
    <row r="45" spans="1:100" ht="14" x14ac:dyDescent="0.25">
      <c r="A45" s="32">
        <v>3125204</v>
      </c>
      <c r="B45" s="184">
        <v>5204</v>
      </c>
      <c r="C45" s="179" t="s">
        <v>111</v>
      </c>
      <c r="D45" s="124">
        <v>169</v>
      </c>
      <c r="E45" s="124">
        <v>169</v>
      </c>
      <c r="F45" s="124">
        <v>0</v>
      </c>
      <c r="G45" s="124">
        <v>0</v>
      </c>
      <c r="H45" s="124">
        <v>0</v>
      </c>
      <c r="I45" s="124">
        <f t="shared" si="22"/>
        <v>19.000000000000071</v>
      </c>
      <c r="J45" s="124">
        <f t="shared" si="23"/>
        <v>0</v>
      </c>
      <c r="K45" s="124">
        <f t="shared" si="24"/>
        <v>19.999999999999968</v>
      </c>
      <c r="L45" s="124">
        <f t="shared" si="25"/>
        <v>0</v>
      </c>
      <c r="M45" s="124">
        <f t="shared" si="26"/>
        <v>31.999999999999915</v>
      </c>
      <c r="N45" s="124">
        <f t="shared" si="27"/>
        <v>2.9999999999999956</v>
      </c>
      <c r="O45" s="124">
        <f t="shared" si="28"/>
        <v>9.0000000000000018</v>
      </c>
      <c r="P45" s="124">
        <f t="shared" si="29"/>
        <v>0</v>
      </c>
      <c r="Q45" s="124">
        <f t="shared" si="30"/>
        <v>0</v>
      </c>
      <c r="R45" s="124">
        <f t="shared" si="31"/>
        <v>0</v>
      </c>
      <c r="S45" s="124">
        <f t="shared" si="32"/>
        <v>0</v>
      </c>
      <c r="T45" s="124">
        <f t="shared" si="33"/>
        <v>0</v>
      </c>
      <c r="U45" s="124">
        <f t="shared" si="34"/>
        <v>0</v>
      </c>
      <c r="V45" s="124">
        <f t="shared" si="35"/>
        <v>0</v>
      </c>
      <c r="W45" s="124">
        <f t="shared" si="36"/>
        <v>0</v>
      </c>
      <c r="X45" s="124">
        <f t="shared" si="37"/>
        <v>0</v>
      </c>
      <c r="Y45" s="124">
        <f t="shared" si="38"/>
        <v>107.81034482758628</v>
      </c>
      <c r="Z45" s="124">
        <f t="shared" si="39"/>
        <v>0</v>
      </c>
      <c r="AA45" s="124">
        <f t="shared" si="40"/>
        <v>42.25009803390774</v>
      </c>
      <c r="AB45" s="124">
        <f t="shared" si="41"/>
        <v>0</v>
      </c>
      <c r="AC45" s="124">
        <f t="shared" si="42"/>
        <v>0</v>
      </c>
      <c r="AD45" s="124">
        <f t="shared" si="43"/>
        <v>0</v>
      </c>
      <c r="AE45" s="127">
        <v>722030.53</v>
      </c>
      <c r="AF45" s="63">
        <v>0</v>
      </c>
      <c r="AG45" s="130">
        <v>0</v>
      </c>
      <c r="AH45" s="130">
        <v>10348.920000000038</v>
      </c>
      <c r="AI45" s="130">
        <v>0</v>
      </c>
      <c r="AJ45" s="130">
        <v>23327.631999999961</v>
      </c>
      <c r="AK45" s="130">
        <v>0</v>
      </c>
      <c r="AL45" s="130">
        <v>8274.7071999999789</v>
      </c>
      <c r="AM45" s="130">
        <v>940.80779999999856</v>
      </c>
      <c r="AN45" s="134">
        <v>4406.9418000000005</v>
      </c>
      <c r="AO45" s="64">
        <v>0</v>
      </c>
      <c r="AP45" s="64">
        <v>0</v>
      </c>
      <c r="AQ45" s="64">
        <v>0</v>
      </c>
      <c r="AR45" s="64">
        <v>0</v>
      </c>
      <c r="AS45" s="64">
        <v>0</v>
      </c>
      <c r="AT45" s="64">
        <v>0</v>
      </c>
      <c r="AU45" s="64">
        <v>0</v>
      </c>
      <c r="AV45" s="64">
        <v>0</v>
      </c>
      <c r="AW45" s="64">
        <v>0</v>
      </c>
      <c r="AX45" s="64">
        <v>70584.510862069015</v>
      </c>
      <c r="AY45" s="64">
        <v>0</v>
      </c>
      <c r="AZ45" s="64">
        <v>54625.996749999998</v>
      </c>
      <c r="BA45" s="64">
        <v>0</v>
      </c>
      <c r="BB45" s="64">
        <v>0</v>
      </c>
      <c r="BC45" s="142">
        <v>0</v>
      </c>
      <c r="BD45" s="142">
        <v>0</v>
      </c>
      <c r="BE45" s="142">
        <v>159662.24</v>
      </c>
      <c r="BF45" s="142"/>
      <c r="BG45" s="142">
        <v>14774.084000000001</v>
      </c>
      <c r="BH45" s="142"/>
      <c r="BI45" s="134">
        <v>0</v>
      </c>
      <c r="BJ45" s="64"/>
      <c r="BK45" s="64"/>
      <c r="BL45" s="142">
        <v>722030.53</v>
      </c>
      <c r="BM45" s="142">
        <v>172509.51641206897</v>
      </c>
      <c r="BN45" s="142">
        <v>174436.32</v>
      </c>
      <c r="BO45" s="142">
        <v>99876.578716999968</v>
      </c>
      <c r="BP45" s="142">
        <v>1068976.366412069</v>
      </c>
      <c r="BQ45" s="142">
        <v>1068976.366412069</v>
      </c>
      <c r="BR45" s="142">
        <v>0</v>
      </c>
      <c r="BS45" s="142">
        <v>894540.04641206888</v>
      </c>
      <c r="BT45" s="142">
        <v>5293.1363693021831</v>
      </c>
      <c r="BU45" s="142">
        <v>5504.5649790697671</v>
      </c>
      <c r="BV45" s="148">
        <v>-3.8409685519474782E-2</v>
      </c>
      <c r="BW45" s="148">
        <v>3.8409685519474782E-2</v>
      </c>
      <c r="BX45" s="142">
        <v>35731.435050721702</v>
      </c>
      <c r="BY45" s="219">
        <v>1104707.8014627907</v>
      </c>
      <c r="BZ45" s="142">
        <v>216.32</v>
      </c>
      <c r="CA45" s="142">
        <v>1862.3799999999999</v>
      </c>
      <c r="CB45" s="188">
        <v>1102629.1014627907</v>
      </c>
      <c r="CC45" s="2"/>
      <c r="CD45" s="212">
        <f>IFERROR(VLOOKUP(B45,#REF!,29,0),0)</f>
        <v>0</v>
      </c>
      <c r="CE45" s="193">
        <f>IFERROR(VLOOKUP(B45,#REF!,28,0),0)</f>
        <v>0</v>
      </c>
      <c r="CF45" s="142"/>
      <c r="CG45" s="194"/>
      <c r="CH45" s="229">
        <v>0</v>
      </c>
      <c r="CI45" s="229">
        <v>0</v>
      </c>
      <c r="CJ45" s="226">
        <v>51990</v>
      </c>
      <c r="CL45" s="401">
        <v>37000</v>
      </c>
      <c r="CM45" s="402">
        <v>335</v>
      </c>
      <c r="CN45" s="402" t="s">
        <v>266</v>
      </c>
      <c r="CO45" s="402">
        <v>7133</v>
      </c>
      <c r="CP45" s="402">
        <v>0</v>
      </c>
      <c r="CQ45" s="402">
        <v>0</v>
      </c>
      <c r="CR45" s="402">
        <v>64951.500000000007</v>
      </c>
      <c r="CS45" s="402">
        <v>6268</v>
      </c>
      <c r="CT45" s="206"/>
      <c r="CU45" s="195"/>
      <c r="CV45" s="2"/>
    </row>
    <row r="46" spans="1:100" ht="14" x14ac:dyDescent="0.25">
      <c r="A46" s="32">
        <v>3125205</v>
      </c>
      <c r="B46" s="184">
        <v>5205</v>
      </c>
      <c r="C46" s="179" t="s">
        <v>113</v>
      </c>
      <c r="D46" s="124">
        <v>227</v>
      </c>
      <c r="E46" s="124">
        <v>227</v>
      </c>
      <c r="F46" s="124">
        <v>0</v>
      </c>
      <c r="G46" s="124">
        <v>0</v>
      </c>
      <c r="H46" s="124">
        <v>0</v>
      </c>
      <c r="I46" s="124">
        <f t="shared" si="22"/>
        <v>45.999999999999908</v>
      </c>
      <c r="J46" s="124">
        <f t="shared" si="23"/>
        <v>0</v>
      </c>
      <c r="K46" s="124">
        <f t="shared" si="24"/>
        <v>45.999999999999908</v>
      </c>
      <c r="L46" s="124">
        <f t="shared" si="25"/>
        <v>0</v>
      </c>
      <c r="M46" s="124">
        <f t="shared" si="26"/>
        <v>50.000000000000064</v>
      </c>
      <c r="N46" s="124">
        <f t="shared" si="27"/>
        <v>1.0000000000000013</v>
      </c>
      <c r="O46" s="124">
        <f t="shared" si="28"/>
        <v>5.0000000000000062</v>
      </c>
      <c r="P46" s="124">
        <f t="shared" si="29"/>
        <v>0</v>
      </c>
      <c r="Q46" s="124">
        <f t="shared" si="30"/>
        <v>0</v>
      </c>
      <c r="R46" s="124">
        <f t="shared" si="31"/>
        <v>0</v>
      </c>
      <c r="S46" s="124">
        <f t="shared" si="32"/>
        <v>0</v>
      </c>
      <c r="T46" s="124">
        <f t="shared" si="33"/>
        <v>0</v>
      </c>
      <c r="U46" s="124">
        <f t="shared" si="34"/>
        <v>0</v>
      </c>
      <c r="V46" s="124">
        <f t="shared" si="35"/>
        <v>0</v>
      </c>
      <c r="W46" s="124">
        <f t="shared" si="36"/>
        <v>0</v>
      </c>
      <c r="X46" s="124">
        <f t="shared" si="37"/>
        <v>0</v>
      </c>
      <c r="Y46" s="124">
        <f t="shared" si="38"/>
        <v>47.000000000000064</v>
      </c>
      <c r="Z46" s="124">
        <f t="shared" si="39"/>
        <v>0</v>
      </c>
      <c r="AA46" s="124">
        <f t="shared" si="40"/>
        <v>85.475186909369839</v>
      </c>
      <c r="AB46" s="124">
        <f t="shared" si="41"/>
        <v>0</v>
      </c>
      <c r="AC46" s="124">
        <f t="shared" si="42"/>
        <v>0</v>
      </c>
      <c r="AD46" s="124">
        <f t="shared" si="43"/>
        <v>0</v>
      </c>
      <c r="AE46" s="127">
        <v>969827.99</v>
      </c>
      <c r="AF46" s="63">
        <v>0</v>
      </c>
      <c r="AG46" s="130">
        <v>0</v>
      </c>
      <c r="AH46" s="130">
        <v>25055.279999999948</v>
      </c>
      <c r="AI46" s="130">
        <v>0</v>
      </c>
      <c r="AJ46" s="130">
        <v>53653.55359999989</v>
      </c>
      <c r="AK46" s="130">
        <v>0</v>
      </c>
      <c r="AL46" s="130">
        <v>12929.230000000018</v>
      </c>
      <c r="AM46" s="130">
        <v>313.60260000000039</v>
      </c>
      <c r="AN46" s="134">
        <v>2448.3010000000031</v>
      </c>
      <c r="AO46" s="64">
        <v>0</v>
      </c>
      <c r="AP46" s="64">
        <v>0</v>
      </c>
      <c r="AQ46" s="64">
        <v>0</v>
      </c>
      <c r="AR46" s="64">
        <v>0</v>
      </c>
      <c r="AS46" s="64">
        <v>0</v>
      </c>
      <c r="AT46" s="64">
        <v>0</v>
      </c>
      <c r="AU46" s="64">
        <v>0</v>
      </c>
      <c r="AV46" s="64">
        <v>0</v>
      </c>
      <c r="AW46" s="64">
        <v>0</v>
      </c>
      <c r="AX46" s="64">
        <v>30771.370000000043</v>
      </c>
      <c r="AY46" s="64">
        <v>0</v>
      </c>
      <c r="AZ46" s="64">
        <v>110512.57865886246</v>
      </c>
      <c r="BA46" s="64">
        <v>0</v>
      </c>
      <c r="BB46" s="64">
        <v>0</v>
      </c>
      <c r="BC46" s="142">
        <v>0</v>
      </c>
      <c r="BD46" s="142">
        <v>0</v>
      </c>
      <c r="BE46" s="142">
        <v>159662.24</v>
      </c>
      <c r="BF46" s="142"/>
      <c r="BG46" s="142">
        <v>14774.084000000001</v>
      </c>
      <c r="BH46" s="142"/>
      <c r="BI46" s="134">
        <v>0</v>
      </c>
      <c r="BJ46" s="64"/>
      <c r="BK46" s="64"/>
      <c r="BL46" s="142">
        <v>969827.99</v>
      </c>
      <c r="BM46" s="142">
        <v>235683.91585886234</v>
      </c>
      <c r="BN46" s="142">
        <v>174436.32</v>
      </c>
      <c r="BO46" s="142">
        <v>175908.24355133067</v>
      </c>
      <c r="BP46" s="142">
        <v>1379948.2258588623</v>
      </c>
      <c r="BQ46" s="142">
        <v>1379948.2258588625</v>
      </c>
      <c r="BR46" s="142">
        <v>0</v>
      </c>
      <c r="BS46" s="142">
        <v>1205511.9058588622</v>
      </c>
      <c r="BT46" s="142">
        <v>5310.625135942124</v>
      </c>
      <c r="BU46" s="142">
        <v>5306.891131858406</v>
      </c>
      <c r="BV46" s="148">
        <v>7.0361422364630089E-4</v>
      </c>
      <c r="BW46" s="148">
        <v>0</v>
      </c>
      <c r="BX46" s="142">
        <v>0</v>
      </c>
      <c r="BY46" s="219">
        <v>1379948.2258588623</v>
      </c>
      <c r="BZ46" s="142">
        <v>290.56</v>
      </c>
      <c r="CA46" s="142">
        <v>2501.54</v>
      </c>
      <c r="CB46" s="188">
        <v>1377156.1258588622</v>
      </c>
      <c r="CC46" s="2"/>
      <c r="CD46" s="212">
        <f>IFERROR(VLOOKUP(B46,#REF!,29,0),0)</f>
        <v>0</v>
      </c>
      <c r="CE46" s="193">
        <f>IFERROR(VLOOKUP(B46,#REF!,28,0),0)</f>
        <v>0</v>
      </c>
      <c r="CF46" s="142"/>
      <c r="CG46" s="194"/>
      <c r="CH46" s="229">
        <v>0</v>
      </c>
      <c r="CI46" s="229">
        <v>0</v>
      </c>
      <c r="CJ46" s="226">
        <v>86697</v>
      </c>
      <c r="CL46" s="401">
        <v>65120</v>
      </c>
      <c r="CM46" s="402">
        <v>670</v>
      </c>
      <c r="CN46" s="402">
        <v>2530</v>
      </c>
      <c r="CO46" s="402">
        <v>7587</v>
      </c>
      <c r="CP46" s="402">
        <v>23085</v>
      </c>
      <c r="CQ46" s="402">
        <v>66946.5</v>
      </c>
      <c r="CR46" s="402">
        <v>0</v>
      </c>
      <c r="CS46" s="402">
        <v>6486.25</v>
      </c>
      <c r="CT46" s="206"/>
      <c r="CU46" s="195"/>
      <c r="CV46" s="2"/>
    </row>
    <row r="47" spans="1:100" ht="14" x14ac:dyDescent="0.25">
      <c r="A47" s="32">
        <v>3123302</v>
      </c>
      <c r="B47" s="184">
        <v>3302</v>
      </c>
      <c r="C47" s="179" t="s">
        <v>276</v>
      </c>
      <c r="D47" s="124">
        <v>177</v>
      </c>
      <c r="E47" s="124">
        <v>177</v>
      </c>
      <c r="F47" s="124">
        <v>0</v>
      </c>
      <c r="G47" s="124">
        <v>0</v>
      </c>
      <c r="H47" s="124">
        <v>0</v>
      </c>
      <c r="I47" s="124">
        <f t="shared" si="22"/>
        <v>33.000000000000057</v>
      </c>
      <c r="J47" s="124">
        <f t="shared" si="23"/>
        <v>0</v>
      </c>
      <c r="K47" s="124">
        <f t="shared" si="24"/>
        <v>33.000000000000057</v>
      </c>
      <c r="L47" s="124">
        <f t="shared" si="25"/>
        <v>0</v>
      </c>
      <c r="M47" s="124">
        <f t="shared" si="26"/>
        <v>23.000000000000043</v>
      </c>
      <c r="N47" s="124">
        <f t="shared" si="27"/>
        <v>5.0000000000000053</v>
      </c>
      <c r="O47" s="124">
        <f t="shared" si="28"/>
        <v>2.0000000000000022</v>
      </c>
      <c r="P47" s="124">
        <f t="shared" si="29"/>
        <v>0</v>
      </c>
      <c r="Q47" s="124">
        <f t="shared" si="30"/>
        <v>0</v>
      </c>
      <c r="R47" s="124">
        <f t="shared" si="31"/>
        <v>0</v>
      </c>
      <c r="S47" s="124">
        <f t="shared" si="32"/>
        <v>0</v>
      </c>
      <c r="T47" s="124">
        <f t="shared" si="33"/>
        <v>0</v>
      </c>
      <c r="U47" s="124">
        <f t="shared" si="34"/>
        <v>0</v>
      </c>
      <c r="V47" s="124">
        <f t="shared" si="35"/>
        <v>0</v>
      </c>
      <c r="W47" s="124">
        <f t="shared" si="36"/>
        <v>0</v>
      </c>
      <c r="X47" s="124">
        <f t="shared" si="37"/>
        <v>0</v>
      </c>
      <c r="Y47" s="124">
        <f t="shared" si="38"/>
        <v>30.439490445859938</v>
      </c>
      <c r="Z47" s="124">
        <f t="shared" si="39"/>
        <v>0</v>
      </c>
      <c r="AA47" s="124">
        <f t="shared" si="40"/>
        <v>37.39143064093178</v>
      </c>
      <c r="AB47" s="124">
        <f t="shared" si="41"/>
        <v>0</v>
      </c>
      <c r="AC47" s="124">
        <f t="shared" si="42"/>
        <v>21.379999999999932</v>
      </c>
      <c r="AD47" s="124">
        <f t="shared" si="43"/>
        <v>0</v>
      </c>
      <c r="AE47" s="127">
        <v>756209.49</v>
      </c>
      <c r="AF47" s="63">
        <v>0</v>
      </c>
      <c r="AG47" s="130">
        <v>0</v>
      </c>
      <c r="AH47" s="130">
        <v>17974.440000000028</v>
      </c>
      <c r="AI47" s="130">
        <v>0</v>
      </c>
      <c r="AJ47" s="130">
        <v>38490.592800000064</v>
      </c>
      <c r="AK47" s="130">
        <v>0</v>
      </c>
      <c r="AL47" s="130">
        <v>5947.4458000000113</v>
      </c>
      <c r="AM47" s="130">
        <v>1568.0130000000017</v>
      </c>
      <c r="AN47" s="134">
        <v>979.32040000000109</v>
      </c>
      <c r="AO47" s="64">
        <v>0</v>
      </c>
      <c r="AP47" s="64">
        <v>0</v>
      </c>
      <c r="AQ47" s="64">
        <v>0</v>
      </c>
      <c r="AR47" s="64">
        <v>0</v>
      </c>
      <c r="AS47" s="64">
        <v>0</v>
      </c>
      <c r="AT47" s="64">
        <v>0</v>
      </c>
      <c r="AU47" s="64">
        <v>0</v>
      </c>
      <c r="AV47" s="64">
        <v>0</v>
      </c>
      <c r="AW47" s="64">
        <v>0</v>
      </c>
      <c r="AX47" s="64">
        <v>19929.038789808961</v>
      </c>
      <c r="AY47" s="64">
        <v>0</v>
      </c>
      <c r="AZ47" s="64">
        <v>48344.128504273518</v>
      </c>
      <c r="BA47" s="64">
        <v>0</v>
      </c>
      <c r="BB47" s="64">
        <v>22702.352999999926</v>
      </c>
      <c r="BC47" s="142">
        <v>0</v>
      </c>
      <c r="BD47" s="142">
        <v>0</v>
      </c>
      <c r="BE47" s="142">
        <v>159662.24</v>
      </c>
      <c r="BF47" s="142"/>
      <c r="BG47" s="142">
        <v>3651.4348</v>
      </c>
      <c r="BH47" s="142"/>
      <c r="BI47" s="134">
        <v>0</v>
      </c>
      <c r="BJ47" s="64"/>
      <c r="BK47" s="64"/>
      <c r="BL47" s="142">
        <v>756209.49</v>
      </c>
      <c r="BM47" s="142">
        <v>155935.3322940825</v>
      </c>
      <c r="BN47" s="142">
        <v>163313.67079999999</v>
      </c>
      <c r="BO47" s="142">
        <v>103804.36610601711</v>
      </c>
      <c r="BP47" s="142">
        <v>1075458.4930940825</v>
      </c>
      <c r="BQ47" s="142">
        <v>1075458.4930940825</v>
      </c>
      <c r="BR47" s="142">
        <v>0</v>
      </c>
      <c r="BS47" s="142">
        <v>912144.82229408238</v>
      </c>
      <c r="BT47" s="142">
        <v>5153.360577932669</v>
      </c>
      <c r="BU47" s="142">
        <v>5002.5918011695903</v>
      </c>
      <c r="BV47" s="148">
        <v>3.0138132942973562E-2</v>
      </c>
      <c r="BW47" s="148">
        <v>0</v>
      </c>
      <c r="BX47" s="142">
        <v>0</v>
      </c>
      <c r="BY47" s="219">
        <v>1075458.4930940825</v>
      </c>
      <c r="BZ47" s="142">
        <v>226.56</v>
      </c>
      <c r="CA47" s="142">
        <v>1950.54</v>
      </c>
      <c r="CB47" s="188">
        <v>1073281.3930940824</v>
      </c>
      <c r="CC47" s="2"/>
      <c r="CD47" s="212">
        <f>IFERROR(VLOOKUP(B47,#REF!,29,0),0)</f>
        <v>0</v>
      </c>
      <c r="CE47" s="193">
        <f>IFERROR(VLOOKUP(B47,#REF!,28,0),0)</f>
        <v>0</v>
      </c>
      <c r="CF47" s="142"/>
      <c r="CG47" s="194"/>
      <c r="CH47" s="229">
        <v>0</v>
      </c>
      <c r="CI47" s="229">
        <v>0</v>
      </c>
      <c r="CJ47" s="226">
        <v>70377</v>
      </c>
      <c r="CL47" s="401">
        <v>35520</v>
      </c>
      <c r="CM47" s="402">
        <v>3015</v>
      </c>
      <c r="CN47" s="402">
        <v>7590</v>
      </c>
      <c r="CO47" s="402">
        <v>7379</v>
      </c>
      <c r="CP47" s="402">
        <v>12183.75</v>
      </c>
      <c r="CQ47" s="402">
        <v>35332.875</v>
      </c>
      <c r="CR47" s="402">
        <v>24510</v>
      </c>
      <c r="CS47" s="402">
        <v>0</v>
      </c>
      <c r="CT47" s="206"/>
      <c r="CU47" s="195"/>
      <c r="CV47" s="2"/>
    </row>
    <row r="48" spans="1:100" ht="14" hidden="1" x14ac:dyDescent="0.25">
      <c r="A48" s="32">
        <v>3122027</v>
      </c>
      <c r="B48" s="184">
        <v>2027</v>
      </c>
      <c r="C48" s="179" t="s">
        <v>116</v>
      </c>
      <c r="D48" s="124">
        <v>618</v>
      </c>
      <c r="E48" s="124">
        <v>618</v>
      </c>
      <c r="F48" s="124">
        <v>0</v>
      </c>
      <c r="G48" s="124">
        <v>0</v>
      </c>
      <c r="H48" s="124">
        <v>0</v>
      </c>
      <c r="I48" s="124">
        <f t="shared" si="22"/>
        <v>51</v>
      </c>
      <c r="J48" s="124">
        <f t="shared" si="23"/>
        <v>0</v>
      </c>
      <c r="K48" s="124">
        <f t="shared" si="24"/>
        <v>51</v>
      </c>
      <c r="L48" s="124">
        <f t="shared" si="25"/>
        <v>0</v>
      </c>
      <c r="M48" s="124">
        <f t="shared" si="26"/>
        <v>171.27714748784416</v>
      </c>
      <c r="N48" s="124">
        <f t="shared" si="27"/>
        <v>51.082658022690431</v>
      </c>
      <c r="O48" s="124">
        <f t="shared" si="28"/>
        <v>10.016207455429516</v>
      </c>
      <c r="P48" s="124">
        <f t="shared" si="29"/>
        <v>3.0048622366288491</v>
      </c>
      <c r="Q48" s="124">
        <f t="shared" si="30"/>
        <v>0</v>
      </c>
      <c r="R48" s="124">
        <f t="shared" si="31"/>
        <v>0</v>
      </c>
      <c r="S48" s="124">
        <f t="shared" si="32"/>
        <v>0</v>
      </c>
      <c r="T48" s="124">
        <f t="shared" si="33"/>
        <v>0</v>
      </c>
      <c r="U48" s="124">
        <f t="shared" si="34"/>
        <v>0</v>
      </c>
      <c r="V48" s="124">
        <f t="shared" si="35"/>
        <v>0</v>
      </c>
      <c r="W48" s="124">
        <f t="shared" si="36"/>
        <v>0</v>
      </c>
      <c r="X48" s="124">
        <f t="shared" si="37"/>
        <v>0</v>
      </c>
      <c r="Y48" s="124">
        <f t="shared" si="38"/>
        <v>262.53383458646618</v>
      </c>
      <c r="Z48" s="124">
        <f t="shared" si="39"/>
        <v>0</v>
      </c>
      <c r="AA48" s="124">
        <f t="shared" si="40"/>
        <v>155.95370733419472</v>
      </c>
      <c r="AB48" s="124">
        <f t="shared" si="41"/>
        <v>0</v>
      </c>
      <c r="AC48" s="124">
        <f t="shared" si="42"/>
        <v>0</v>
      </c>
      <c r="AD48" s="124">
        <f t="shared" si="43"/>
        <v>0</v>
      </c>
      <c r="AE48" s="127">
        <v>2640324.66</v>
      </c>
      <c r="AF48" s="63">
        <v>0</v>
      </c>
      <c r="AG48" s="130">
        <v>0</v>
      </c>
      <c r="AH48" s="130">
        <v>27778.679999999997</v>
      </c>
      <c r="AI48" s="130">
        <v>0</v>
      </c>
      <c r="AJ48" s="130">
        <v>59485.461599999995</v>
      </c>
      <c r="AK48" s="130">
        <v>0</v>
      </c>
      <c r="AL48" s="130">
        <v>44289.632672285188</v>
      </c>
      <c r="AM48" s="130">
        <v>16019.654370826578</v>
      </c>
      <c r="AN48" s="134">
        <v>4904.5381458671072</v>
      </c>
      <c r="AO48" s="64">
        <v>1620.1508032414908</v>
      </c>
      <c r="AP48" s="64">
        <v>0</v>
      </c>
      <c r="AQ48" s="64">
        <v>0</v>
      </c>
      <c r="AR48" s="64">
        <v>0</v>
      </c>
      <c r="AS48" s="64">
        <v>0</v>
      </c>
      <c r="AT48" s="64">
        <v>0</v>
      </c>
      <c r="AU48" s="64">
        <v>0</v>
      </c>
      <c r="AV48" s="64">
        <v>0</v>
      </c>
      <c r="AW48" s="64">
        <v>0</v>
      </c>
      <c r="AX48" s="64">
        <v>171883.52684210529</v>
      </c>
      <c r="AY48" s="64">
        <v>0</v>
      </c>
      <c r="AZ48" s="64">
        <v>201635.66728652705</v>
      </c>
      <c r="BA48" s="64">
        <v>0</v>
      </c>
      <c r="BB48" s="64">
        <v>0</v>
      </c>
      <c r="BC48" s="142">
        <v>0</v>
      </c>
      <c r="BD48" s="142">
        <v>0</v>
      </c>
      <c r="BE48" s="142">
        <v>159662.24</v>
      </c>
      <c r="BF48" s="142"/>
      <c r="BG48" s="142">
        <v>26249.599999999999</v>
      </c>
      <c r="BH48" s="142"/>
      <c r="BI48" s="134">
        <v>0</v>
      </c>
      <c r="BJ48" s="64"/>
      <c r="BK48" s="64"/>
      <c r="BL48" s="142">
        <v>2640324.66</v>
      </c>
      <c r="BM48" s="142">
        <v>527617.31172085274</v>
      </c>
      <c r="BN48" s="142">
        <v>185911.83600000001</v>
      </c>
      <c r="BO48" s="142">
        <v>347340.46465783461</v>
      </c>
      <c r="BP48" s="142">
        <v>3353853.807720853</v>
      </c>
      <c r="BQ48" s="142">
        <v>3353853.807720853</v>
      </c>
      <c r="BR48" s="142">
        <v>0</v>
      </c>
      <c r="BS48" s="142">
        <v>3167941.9717208529</v>
      </c>
      <c r="BT48" s="142">
        <v>5126.1196953411863</v>
      </c>
      <c r="BU48" s="142">
        <v>4907.085893833334</v>
      </c>
      <c r="BV48" s="148">
        <v>4.463622733466089E-2</v>
      </c>
      <c r="BW48" s="148">
        <v>0</v>
      </c>
      <c r="BX48" s="142">
        <v>0</v>
      </c>
      <c r="BY48" s="219">
        <v>3353853.807720853</v>
      </c>
      <c r="BZ48" s="142">
        <v>0</v>
      </c>
      <c r="CA48" s="142">
        <v>0</v>
      </c>
      <c r="CB48" s="188">
        <v>3353853.807720853</v>
      </c>
      <c r="CC48" s="2"/>
      <c r="CD48" s="212">
        <f>IFERROR(VLOOKUP(B48,#REF!,29,0),0)</f>
        <v>0</v>
      </c>
      <c r="CE48" s="193">
        <f>IFERROR(VLOOKUP(B48,#REF!,28,0),0)</f>
        <v>0</v>
      </c>
      <c r="CF48" s="142"/>
      <c r="CG48" s="194"/>
      <c r="CH48" s="229">
        <v>0</v>
      </c>
      <c r="CI48" s="229">
        <v>0</v>
      </c>
      <c r="CJ48" s="226">
        <v>136180</v>
      </c>
      <c r="CL48" s="401">
        <v>0</v>
      </c>
      <c r="CM48" s="402">
        <v>0</v>
      </c>
      <c r="CN48" s="402">
        <v>0</v>
      </c>
      <c r="CO48" s="402">
        <v>0</v>
      </c>
      <c r="CP48" s="402">
        <v>38988</v>
      </c>
      <c r="CQ48" s="402">
        <v>113065.20000000001</v>
      </c>
      <c r="CR48" s="402">
        <v>0</v>
      </c>
      <c r="CS48" s="402">
        <v>0</v>
      </c>
      <c r="CT48" s="206"/>
      <c r="CU48" s="195"/>
      <c r="CV48" s="2"/>
    </row>
    <row r="49" spans="1:100" ht="14" x14ac:dyDescent="0.25">
      <c r="A49" s="32">
        <v>3122032</v>
      </c>
      <c r="B49" s="184">
        <v>2032</v>
      </c>
      <c r="C49" s="181" t="s">
        <v>277</v>
      </c>
      <c r="D49" s="124">
        <v>571</v>
      </c>
      <c r="E49" s="124">
        <v>571</v>
      </c>
      <c r="F49" s="124">
        <v>0</v>
      </c>
      <c r="G49" s="124">
        <v>0</v>
      </c>
      <c r="H49" s="124">
        <v>0</v>
      </c>
      <c r="I49" s="124">
        <f t="shared" si="22"/>
        <v>106.99999999999977</v>
      </c>
      <c r="J49" s="124">
        <f t="shared" si="23"/>
        <v>0</v>
      </c>
      <c r="K49" s="124">
        <f t="shared" si="24"/>
        <v>110.00000000000006</v>
      </c>
      <c r="L49" s="124">
        <f t="shared" si="25"/>
        <v>0</v>
      </c>
      <c r="M49" s="124">
        <f t="shared" si="26"/>
        <v>28.000000000000004</v>
      </c>
      <c r="N49" s="124">
        <f t="shared" si="27"/>
        <v>5.9999999999999929</v>
      </c>
      <c r="O49" s="124">
        <f t="shared" si="28"/>
        <v>1.0000000000000027</v>
      </c>
      <c r="P49" s="124">
        <f t="shared" si="29"/>
        <v>0</v>
      </c>
      <c r="Q49" s="124">
        <f t="shared" si="30"/>
        <v>0</v>
      </c>
      <c r="R49" s="124">
        <f t="shared" si="31"/>
        <v>0</v>
      </c>
      <c r="S49" s="124">
        <f t="shared" si="32"/>
        <v>0</v>
      </c>
      <c r="T49" s="124">
        <f t="shared" si="33"/>
        <v>0</v>
      </c>
      <c r="U49" s="124">
        <f t="shared" si="34"/>
        <v>0</v>
      </c>
      <c r="V49" s="124">
        <f t="shared" si="35"/>
        <v>0</v>
      </c>
      <c r="W49" s="124">
        <f t="shared" si="36"/>
        <v>0</v>
      </c>
      <c r="X49" s="124">
        <f t="shared" si="37"/>
        <v>0</v>
      </c>
      <c r="Y49" s="124">
        <f t="shared" si="38"/>
        <v>93.644000000000005</v>
      </c>
      <c r="Z49" s="124">
        <f t="shared" si="39"/>
        <v>0</v>
      </c>
      <c r="AA49" s="124">
        <f t="shared" si="40"/>
        <v>130.04462861219503</v>
      </c>
      <c r="AB49" s="124">
        <f t="shared" si="41"/>
        <v>0</v>
      </c>
      <c r="AC49" s="124">
        <f t="shared" si="42"/>
        <v>0</v>
      </c>
      <c r="AD49" s="124">
        <f t="shared" si="43"/>
        <v>0</v>
      </c>
      <c r="AE49" s="127">
        <v>2439523.27</v>
      </c>
      <c r="AF49" s="63">
        <v>0</v>
      </c>
      <c r="AG49" s="130">
        <v>0</v>
      </c>
      <c r="AH49" s="130">
        <v>58280.759999999871</v>
      </c>
      <c r="AI49" s="130">
        <v>0</v>
      </c>
      <c r="AJ49" s="130">
        <v>128301.97600000005</v>
      </c>
      <c r="AK49" s="130">
        <v>0</v>
      </c>
      <c r="AL49" s="130">
        <v>7240.368800000002</v>
      </c>
      <c r="AM49" s="130">
        <v>1881.6155999999978</v>
      </c>
      <c r="AN49" s="134">
        <v>489.66020000000128</v>
      </c>
      <c r="AO49" s="64">
        <v>0</v>
      </c>
      <c r="AP49" s="64">
        <v>0</v>
      </c>
      <c r="AQ49" s="64">
        <v>0</v>
      </c>
      <c r="AR49" s="64">
        <v>0</v>
      </c>
      <c r="AS49" s="64">
        <v>0</v>
      </c>
      <c r="AT49" s="64">
        <v>0</v>
      </c>
      <c r="AU49" s="64">
        <v>0</v>
      </c>
      <c r="AV49" s="64">
        <v>0</v>
      </c>
      <c r="AW49" s="64">
        <v>0</v>
      </c>
      <c r="AX49" s="64">
        <v>61309.663240000009</v>
      </c>
      <c r="AY49" s="64">
        <v>0</v>
      </c>
      <c r="AZ49" s="64">
        <v>168137.3012252792</v>
      </c>
      <c r="BA49" s="64">
        <v>0</v>
      </c>
      <c r="BB49" s="64">
        <v>0</v>
      </c>
      <c r="BC49" s="142">
        <v>0</v>
      </c>
      <c r="BD49" s="142">
        <v>0</v>
      </c>
      <c r="BE49" s="142">
        <v>159662.24</v>
      </c>
      <c r="BF49" s="142"/>
      <c r="BG49" s="142">
        <v>72732.504000000001</v>
      </c>
      <c r="BH49" s="142"/>
      <c r="BI49" s="134">
        <v>0</v>
      </c>
      <c r="BJ49" s="64"/>
      <c r="BK49" s="64"/>
      <c r="BL49" s="142">
        <v>2439523.27</v>
      </c>
      <c r="BM49" s="142">
        <v>425641.34506527917</v>
      </c>
      <c r="BN49" s="142">
        <v>232394.74</v>
      </c>
      <c r="BO49" s="142">
        <v>313840.53287376248</v>
      </c>
      <c r="BP49" s="142">
        <v>3097559.3550652796</v>
      </c>
      <c r="BQ49" s="142">
        <v>3097559.3550652787</v>
      </c>
      <c r="BR49" s="142">
        <v>0</v>
      </c>
      <c r="BS49" s="142">
        <v>2865164.6150652794</v>
      </c>
      <c r="BT49" s="142">
        <v>5017.8014274348152</v>
      </c>
      <c r="BU49" s="142">
        <v>4988.5022802158273</v>
      </c>
      <c r="BV49" s="148">
        <v>5.873335436807744E-3</v>
      </c>
      <c r="BW49" s="148">
        <v>0</v>
      </c>
      <c r="BX49" s="142">
        <v>0</v>
      </c>
      <c r="BY49" s="219">
        <v>3097559.3550652796</v>
      </c>
      <c r="BZ49" s="142">
        <v>730.88</v>
      </c>
      <c r="CA49" s="142">
        <v>6292.42</v>
      </c>
      <c r="CB49" s="188">
        <v>3090536.0550652798</v>
      </c>
      <c r="CC49" s="2"/>
      <c r="CD49" s="214">
        <f>IFERROR(VLOOKUP(B49,#REF!,29,0),0)</f>
        <v>0</v>
      </c>
      <c r="CE49" s="198">
        <f>IFERROR(VLOOKUP(B49,#REF!,28,0),0)</f>
        <v>0</v>
      </c>
      <c r="CF49" s="142"/>
      <c r="CG49" s="194"/>
      <c r="CH49" s="229">
        <v>0</v>
      </c>
      <c r="CI49" s="229">
        <v>0</v>
      </c>
      <c r="CJ49" s="226">
        <v>103864</v>
      </c>
      <c r="CL49" s="401">
        <v>136160</v>
      </c>
      <c r="CM49" s="402">
        <v>335</v>
      </c>
      <c r="CN49" s="402">
        <v>2530</v>
      </c>
      <c r="CO49" s="402">
        <v>8742</v>
      </c>
      <c r="CP49" s="402">
        <v>35012.25</v>
      </c>
      <c r="CQ49" s="402">
        <v>101535.52500000001</v>
      </c>
      <c r="CR49" s="402">
        <v>89706.599999999991</v>
      </c>
      <c r="CS49" s="402">
        <v>10934.5</v>
      </c>
      <c r="CT49" s="206"/>
      <c r="CU49" s="195"/>
      <c r="CV49" s="2"/>
    </row>
    <row r="50" spans="1:100" ht="14" hidden="1" x14ac:dyDescent="0.25">
      <c r="A50" s="32">
        <v>3122028</v>
      </c>
      <c r="B50" s="184">
        <v>2028</v>
      </c>
      <c r="C50" s="179" t="s">
        <v>120</v>
      </c>
      <c r="D50" s="124">
        <v>614</v>
      </c>
      <c r="E50" s="124">
        <v>614</v>
      </c>
      <c r="F50" s="124">
        <v>0</v>
      </c>
      <c r="G50" s="124">
        <v>0</v>
      </c>
      <c r="H50" s="124">
        <v>0</v>
      </c>
      <c r="I50" s="124">
        <f t="shared" si="22"/>
        <v>145.00000000000003</v>
      </c>
      <c r="J50" s="124">
        <f t="shared" si="23"/>
        <v>0</v>
      </c>
      <c r="K50" s="124">
        <f t="shared" si="24"/>
        <v>149.00000000000003</v>
      </c>
      <c r="L50" s="124">
        <f t="shared" si="25"/>
        <v>0</v>
      </c>
      <c r="M50" s="124">
        <f t="shared" si="26"/>
        <v>148.00000000000003</v>
      </c>
      <c r="N50" s="124">
        <f t="shared" si="27"/>
        <v>208.99999999999977</v>
      </c>
      <c r="O50" s="124">
        <f t="shared" si="28"/>
        <v>1.9999999999999982</v>
      </c>
      <c r="P50" s="124">
        <f t="shared" si="29"/>
        <v>0</v>
      </c>
      <c r="Q50" s="124">
        <f t="shared" si="30"/>
        <v>0</v>
      </c>
      <c r="R50" s="124">
        <f t="shared" si="31"/>
        <v>1.0000000000000022</v>
      </c>
      <c r="S50" s="124">
        <f t="shared" si="32"/>
        <v>0</v>
      </c>
      <c r="T50" s="124">
        <f t="shared" si="33"/>
        <v>0</v>
      </c>
      <c r="U50" s="124">
        <f t="shared" si="34"/>
        <v>0</v>
      </c>
      <c r="V50" s="124">
        <f t="shared" si="35"/>
        <v>0</v>
      </c>
      <c r="W50" s="124">
        <f t="shared" si="36"/>
        <v>0</v>
      </c>
      <c r="X50" s="124">
        <f t="shared" si="37"/>
        <v>0</v>
      </c>
      <c r="Y50" s="124">
        <f t="shared" si="38"/>
        <v>250.75572519084</v>
      </c>
      <c r="Z50" s="124">
        <f t="shared" si="39"/>
        <v>0</v>
      </c>
      <c r="AA50" s="124">
        <f t="shared" si="40"/>
        <v>214.68939957250515</v>
      </c>
      <c r="AB50" s="124">
        <f t="shared" si="41"/>
        <v>0</v>
      </c>
      <c r="AC50" s="124">
        <f t="shared" si="42"/>
        <v>17.248091353996763</v>
      </c>
      <c r="AD50" s="124">
        <f t="shared" si="43"/>
        <v>0</v>
      </c>
      <c r="AE50" s="127">
        <v>2623235.1799999997</v>
      </c>
      <c r="AF50" s="63">
        <v>0</v>
      </c>
      <c r="AG50" s="130">
        <v>0</v>
      </c>
      <c r="AH50" s="130">
        <v>78978.600000000006</v>
      </c>
      <c r="AI50" s="130">
        <v>0</v>
      </c>
      <c r="AJ50" s="130">
        <v>173790.85840000003</v>
      </c>
      <c r="AK50" s="130">
        <v>0</v>
      </c>
      <c r="AL50" s="130">
        <v>38270.520800000013</v>
      </c>
      <c r="AM50" s="130">
        <v>65542.943399999931</v>
      </c>
      <c r="AN50" s="134">
        <v>979.32039999999904</v>
      </c>
      <c r="AO50" s="64">
        <v>0</v>
      </c>
      <c r="AP50" s="64">
        <v>0</v>
      </c>
      <c r="AQ50" s="64">
        <v>753.74660000000165</v>
      </c>
      <c r="AR50" s="64">
        <v>0</v>
      </c>
      <c r="AS50" s="64">
        <v>0</v>
      </c>
      <c r="AT50" s="64">
        <v>0</v>
      </c>
      <c r="AU50" s="64">
        <v>0</v>
      </c>
      <c r="AV50" s="64">
        <v>0</v>
      </c>
      <c r="AW50" s="64">
        <v>0</v>
      </c>
      <c r="AX50" s="64">
        <v>164172.28083969487</v>
      </c>
      <c r="AY50" s="64">
        <v>0</v>
      </c>
      <c r="AZ50" s="64">
        <v>277576.21849528339</v>
      </c>
      <c r="BA50" s="64">
        <v>0</v>
      </c>
      <c r="BB50" s="64">
        <v>18314.885804241461</v>
      </c>
      <c r="BC50" s="142">
        <v>0</v>
      </c>
      <c r="BD50" s="142">
        <v>0</v>
      </c>
      <c r="BE50" s="142">
        <v>159662.24</v>
      </c>
      <c r="BF50" s="142"/>
      <c r="BG50" s="142">
        <v>23614.240000000002</v>
      </c>
      <c r="BH50" s="142"/>
      <c r="BI50" s="134">
        <v>0</v>
      </c>
      <c r="BJ50" s="64"/>
      <c r="BK50" s="64"/>
      <c r="BL50" s="142">
        <v>2623235.1799999997</v>
      </c>
      <c r="BM50" s="142">
        <v>818379.37473921967</v>
      </c>
      <c r="BN50" s="142">
        <v>183276.476</v>
      </c>
      <c r="BO50" s="142">
        <v>490264.11936232977</v>
      </c>
      <c r="BP50" s="142">
        <v>3624891.0307392189</v>
      </c>
      <c r="BQ50" s="142">
        <v>3624891.0307392189</v>
      </c>
      <c r="BR50" s="142">
        <v>0</v>
      </c>
      <c r="BS50" s="142">
        <v>3441614.5547392187</v>
      </c>
      <c r="BT50" s="142">
        <v>5605.2354311713661</v>
      </c>
      <c r="BU50" s="142">
        <v>5601.0326300632914</v>
      </c>
      <c r="BV50" s="148">
        <v>7.5036183248002573E-4</v>
      </c>
      <c r="BW50" s="148">
        <v>0</v>
      </c>
      <c r="BX50" s="142">
        <v>0</v>
      </c>
      <c r="BY50" s="219">
        <v>3624891.0307392189</v>
      </c>
      <c r="BZ50" s="142">
        <v>0</v>
      </c>
      <c r="CA50" s="142">
        <v>0</v>
      </c>
      <c r="CB50" s="188">
        <v>3624891.0307392189</v>
      </c>
      <c r="CC50" s="2"/>
      <c r="CD50" s="212">
        <f>IFERROR(VLOOKUP(B50,#REF!,29,0),0)</f>
        <v>0</v>
      </c>
      <c r="CE50" s="193">
        <f>IFERROR(VLOOKUP(B50,#REF!,28,0),0)</f>
        <v>0</v>
      </c>
      <c r="CF50" s="142"/>
      <c r="CG50" s="194"/>
      <c r="CH50" s="229">
        <v>78000</v>
      </c>
      <c r="CI50" s="229">
        <v>0</v>
      </c>
      <c r="CJ50" s="226">
        <v>241168</v>
      </c>
      <c r="CL50" s="401">
        <v>0</v>
      </c>
      <c r="CM50" s="402">
        <v>0</v>
      </c>
      <c r="CN50" s="402">
        <v>0</v>
      </c>
      <c r="CO50" s="402">
        <v>0</v>
      </c>
      <c r="CP50" s="402">
        <v>33473.25</v>
      </c>
      <c r="CQ50" s="402">
        <v>97072.424999999988</v>
      </c>
      <c r="CR50" s="402">
        <v>0</v>
      </c>
      <c r="CS50" s="402">
        <v>0</v>
      </c>
      <c r="CT50" s="206"/>
      <c r="CU50" s="195"/>
      <c r="CV50" s="2"/>
    </row>
    <row r="51" spans="1:100" ht="14" hidden="1" x14ac:dyDescent="0.25">
      <c r="A51" s="32">
        <v>3122017</v>
      </c>
      <c r="B51" s="184">
        <v>2017</v>
      </c>
      <c r="C51" s="179" t="s">
        <v>122</v>
      </c>
      <c r="D51" s="124">
        <v>265</v>
      </c>
      <c r="E51" s="124">
        <v>265</v>
      </c>
      <c r="F51" s="124">
        <v>0</v>
      </c>
      <c r="G51" s="124">
        <v>0</v>
      </c>
      <c r="H51" s="124">
        <v>0</v>
      </c>
      <c r="I51" s="124">
        <f t="shared" si="22"/>
        <v>111.99999999999993</v>
      </c>
      <c r="J51" s="124">
        <f t="shared" si="23"/>
        <v>0</v>
      </c>
      <c r="K51" s="124">
        <f t="shared" si="24"/>
        <v>113.99999999999999</v>
      </c>
      <c r="L51" s="124">
        <f t="shared" si="25"/>
        <v>0</v>
      </c>
      <c r="M51" s="124">
        <f t="shared" si="26"/>
        <v>42.999999999999936</v>
      </c>
      <c r="N51" s="124">
        <f t="shared" si="27"/>
        <v>111.00000000000001</v>
      </c>
      <c r="O51" s="124">
        <f t="shared" si="28"/>
        <v>6.0000000000000098</v>
      </c>
      <c r="P51" s="124">
        <f t="shared" si="29"/>
        <v>60.000000000000099</v>
      </c>
      <c r="Q51" s="124">
        <f t="shared" si="30"/>
        <v>0</v>
      </c>
      <c r="R51" s="124">
        <f t="shared" si="31"/>
        <v>0</v>
      </c>
      <c r="S51" s="124">
        <f t="shared" si="32"/>
        <v>0</v>
      </c>
      <c r="T51" s="124">
        <f t="shared" si="33"/>
        <v>0</v>
      </c>
      <c r="U51" s="124">
        <f t="shared" si="34"/>
        <v>0</v>
      </c>
      <c r="V51" s="124">
        <f t="shared" si="35"/>
        <v>0</v>
      </c>
      <c r="W51" s="124">
        <f t="shared" si="36"/>
        <v>0</v>
      </c>
      <c r="X51" s="124">
        <f t="shared" si="37"/>
        <v>0</v>
      </c>
      <c r="Y51" s="124">
        <f t="shared" si="38"/>
        <v>96.567796610169495</v>
      </c>
      <c r="Z51" s="124">
        <f t="shared" si="39"/>
        <v>0</v>
      </c>
      <c r="AA51" s="124">
        <f t="shared" si="40"/>
        <v>115.66596645915102</v>
      </c>
      <c r="AB51" s="124">
        <f t="shared" si="41"/>
        <v>0</v>
      </c>
      <c r="AC51" s="124">
        <f t="shared" si="42"/>
        <v>10.099999999999998</v>
      </c>
      <c r="AD51" s="124">
        <f t="shared" si="43"/>
        <v>0</v>
      </c>
      <c r="AE51" s="127">
        <v>1132178.05</v>
      </c>
      <c r="AF51" s="63">
        <v>0</v>
      </c>
      <c r="AG51" s="130">
        <v>0</v>
      </c>
      <c r="AH51" s="130">
        <v>61004.159999999953</v>
      </c>
      <c r="AI51" s="130">
        <v>0</v>
      </c>
      <c r="AJ51" s="130">
        <v>132967.50239999997</v>
      </c>
      <c r="AK51" s="130">
        <v>0</v>
      </c>
      <c r="AL51" s="130">
        <v>11119.137799999984</v>
      </c>
      <c r="AM51" s="130">
        <v>34809.888600000006</v>
      </c>
      <c r="AN51" s="134">
        <v>2937.9612000000047</v>
      </c>
      <c r="AO51" s="64">
        <v>32350.58400000005</v>
      </c>
      <c r="AP51" s="64">
        <v>0</v>
      </c>
      <c r="AQ51" s="64">
        <v>0</v>
      </c>
      <c r="AR51" s="64">
        <v>0</v>
      </c>
      <c r="AS51" s="64">
        <v>0</v>
      </c>
      <c r="AT51" s="64">
        <v>0</v>
      </c>
      <c r="AU51" s="64">
        <v>0</v>
      </c>
      <c r="AV51" s="64">
        <v>0</v>
      </c>
      <c r="AW51" s="64">
        <v>0</v>
      </c>
      <c r="AX51" s="64">
        <v>63223.902118644073</v>
      </c>
      <c r="AY51" s="64">
        <v>0</v>
      </c>
      <c r="AZ51" s="64">
        <v>149546.84135436555</v>
      </c>
      <c r="BA51" s="64">
        <v>0</v>
      </c>
      <c r="BB51" s="64">
        <v>10724.684999999998</v>
      </c>
      <c r="BC51" s="142">
        <v>0</v>
      </c>
      <c r="BD51" s="142">
        <v>0</v>
      </c>
      <c r="BE51" s="142">
        <v>159662.24</v>
      </c>
      <c r="BF51" s="142"/>
      <c r="BG51" s="142">
        <v>6828.64</v>
      </c>
      <c r="BH51" s="142"/>
      <c r="BI51" s="134">
        <v>0</v>
      </c>
      <c r="BJ51" s="64"/>
      <c r="BK51" s="64"/>
      <c r="BL51" s="142">
        <v>1132178.05</v>
      </c>
      <c r="BM51" s="142">
        <v>498684.66247300961</v>
      </c>
      <c r="BN51" s="142">
        <v>166490.87600000002</v>
      </c>
      <c r="BO51" s="142">
        <v>285553.67000510363</v>
      </c>
      <c r="BP51" s="142">
        <v>1797353.5884730096</v>
      </c>
      <c r="BQ51" s="142">
        <v>1797353.5884730092</v>
      </c>
      <c r="BR51" s="142">
        <v>0</v>
      </c>
      <c r="BS51" s="142">
        <v>1630862.7124730097</v>
      </c>
      <c r="BT51" s="142">
        <v>6154.1989149924893</v>
      </c>
      <c r="BU51" s="142">
        <v>6264.1649705673763</v>
      </c>
      <c r="BV51" s="148">
        <v>-1.7554782814879596E-2</v>
      </c>
      <c r="BW51" s="148">
        <v>1.7554782814879596E-2</v>
      </c>
      <c r="BX51" s="142">
        <v>29141.004727345033</v>
      </c>
      <c r="BY51" s="219">
        <v>1826494.5932003546</v>
      </c>
      <c r="BZ51" s="142">
        <v>0</v>
      </c>
      <c r="CA51" s="142">
        <v>0</v>
      </c>
      <c r="CB51" s="188">
        <v>1826494.5932003546</v>
      </c>
      <c r="CC51" s="2"/>
      <c r="CD51" s="212">
        <f>IFERROR(VLOOKUP(B51,#REF!,29,0),0)</f>
        <v>0</v>
      </c>
      <c r="CE51" s="193">
        <f>IFERROR(VLOOKUP(B51,#REF!,28,0),0)</f>
        <v>0</v>
      </c>
      <c r="CF51" s="142"/>
      <c r="CG51" s="194"/>
      <c r="CH51" s="229">
        <v>0</v>
      </c>
      <c r="CI51" s="229">
        <v>0</v>
      </c>
      <c r="CJ51" s="226">
        <v>150579</v>
      </c>
      <c r="CL51" s="401">
        <v>0</v>
      </c>
      <c r="CM51" s="402">
        <v>0</v>
      </c>
      <c r="CN51" s="402">
        <v>0</v>
      </c>
      <c r="CO51" s="402">
        <v>0</v>
      </c>
      <c r="CP51" s="402">
        <v>10260</v>
      </c>
      <c r="CQ51" s="402">
        <v>29754</v>
      </c>
      <c r="CR51" s="402">
        <v>0</v>
      </c>
      <c r="CS51" s="402">
        <v>0</v>
      </c>
      <c r="CT51" s="206"/>
      <c r="CU51" s="195"/>
      <c r="CV51" s="2"/>
    </row>
    <row r="52" spans="1:100" ht="14" x14ac:dyDescent="0.25">
      <c r="A52" s="32">
        <v>3122037</v>
      </c>
      <c r="B52" s="184">
        <v>2037</v>
      </c>
      <c r="C52" s="179" t="s">
        <v>278</v>
      </c>
      <c r="D52" s="124">
        <v>306</v>
      </c>
      <c r="E52" s="124">
        <v>306</v>
      </c>
      <c r="F52" s="124">
        <v>0</v>
      </c>
      <c r="G52" s="124">
        <v>0</v>
      </c>
      <c r="H52" s="124">
        <v>0</v>
      </c>
      <c r="I52" s="124">
        <f t="shared" si="22"/>
        <v>113.99999999999996</v>
      </c>
      <c r="J52" s="124">
        <f t="shared" si="23"/>
        <v>0</v>
      </c>
      <c r="K52" s="124">
        <f t="shared" si="24"/>
        <v>113.99999999999996</v>
      </c>
      <c r="L52" s="124">
        <f t="shared" si="25"/>
        <v>0</v>
      </c>
      <c r="M52" s="124">
        <f t="shared" si="26"/>
        <v>95.311475409836191</v>
      </c>
      <c r="N52" s="124">
        <f t="shared" si="27"/>
        <v>153.50163934426226</v>
      </c>
      <c r="O52" s="124">
        <f t="shared" si="28"/>
        <v>0</v>
      </c>
      <c r="P52" s="124">
        <f t="shared" si="29"/>
        <v>0</v>
      </c>
      <c r="Q52" s="124">
        <f t="shared" si="30"/>
        <v>1.003278688524589</v>
      </c>
      <c r="R52" s="124">
        <f t="shared" si="31"/>
        <v>0</v>
      </c>
      <c r="S52" s="124">
        <f t="shared" si="32"/>
        <v>0</v>
      </c>
      <c r="T52" s="124">
        <f t="shared" si="33"/>
        <v>0</v>
      </c>
      <c r="U52" s="124">
        <f t="shared" si="34"/>
        <v>0</v>
      </c>
      <c r="V52" s="124">
        <f t="shared" si="35"/>
        <v>0</v>
      </c>
      <c r="W52" s="124">
        <f t="shared" si="36"/>
        <v>0</v>
      </c>
      <c r="X52" s="124">
        <f t="shared" si="37"/>
        <v>0</v>
      </c>
      <c r="Y52" s="124">
        <f t="shared" si="38"/>
        <v>259.2709359605912</v>
      </c>
      <c r="Z52" s="124">
        <f t="shared" si="39"/>
        <v>0</v>
      </c>
      <c r="AA52" s="124">
        <f t="shared" si="40"/>
        <v>144.86203825449377</v>
      </c>
      <c r="AB52" s="124">
        <f t="shared" si="41"/>
        <v>0</v>
      </c>
      <c r="AC52" s="124">
        <f t="shared" si="42"/>
        <v>0</v>
      </c>
      <c r="AD52" s="124">
        <f t="shared" si="43"/>
        <v>0</v>
      </c>
      <c r="AE52" s="127">
        <v>1307345.22</v>
      </c>
      <c r="AF52" s="63">
        <v>0</v>
      </c>
      <c r="AG52" s="130">
        <v>0</v>
      </c>
      <c r="AH52" s="130">
        <v>62093.519999999968</v>
      </c>
      <c r="AI52" s="130">
        <v>0</v>
      </c>
      <c r="AJ52" s="130">
        <v>132967.50239999994</v>
      </c>
      <c r="AK52" s="130">
        <v>0</v>
      </c>
      <c r="AL52" s="130">
        <v>24646.07974426233</v>
      </c>
      <c r="AM52" s="130">
        <v>48138.51320262294</v>
      </c>
      <c r="AN52" s="134">
        <v>0</v>
      </c>
      <c r="AO52" s="64">
        <v>0</v>
      </c>
      <c r="AP52" s="64">
        <v>574.06322360655668</v>
      </c>
      <c r="AQ52" s="64">
        <v>0</v>
      </c>
      <c r="AR52" s="64">
        <v>0</v>
      </c>
      <c r="AS52" s="64">
        <v>0</v>
      </c>
      <c r="AT52" s="64">
        <v>0</v>
      </c>
      <c r="AU52" s="64">
        <v>0</v>
      </c>
      <c r="AV52" s="64">
        <v>0</v>
      </c>
      <c r="AW52" s="64">
        <v>0</v>
      </c>
      <c r="AX52" s="64">
        <v>169747.27448275869</v>
      </c>
      <c r="AY52" s="64">
        <v>0</v>
      </c>
      <c r="AZ52" s="64">
        <v>187295.02650000009</v>
      </c>
      <c r="BA52" s="64">
        <v>0</v>
      </c>
      <c r="BB52" s="64">
        <v>0</v>
      </c>
      <c r="BC52" s="142">
        <v>0</v>
      </c>
      <c r="BD52" s="142">
        <v>0</v>
      </c>
      <c r="BE52" s="142">
        <v>159662.24</v>
      </c>
      <c r="BF52" s="142"/>
      <c r="BG52" s="142">
        <v>41219.360000000001</v>
      </c>
      <c r="BH52" s="142"/>
      <c r="BI52" s="134">
        <v>0</v>
      </c>
      <c r="BJ52" s="64"/>
      <c r="BK52" s="64"/>
      <c r="BL52" s="142">
        <v>1307345.22</v>
      </c>
      <c r="BM52" s="142">
        <v>625461.9795532506</v>
      </c>
      <c r="BN52" s="142">
        <v>200881.59600000002</v>
      </c>
      <c r="BO52" s="142">
        <v>321876.02691872139</v>
      </c>
      <c r="BP52" s="142">
        <v>2133688.7955532507</v>
      </c>
      <c r="BQ52" s="142">
        <v>2133688.7955532507</v>
      </c>
      <c r="BR52" s="142">
        <v>0</v>
      </c>
      <c r="BS52" s="142">
        <v>1932807.1995532506</v>
      </c>
      <c r="BT52" s="142">
        <v>6316.3633972328453</v>
      </c>
      <c r="BU52" s="142">
        <v>6346.7538150306746</v>
      </c>
      <c r="BV52" s="148">
        <v>-4.7883404151989164E-3</v>
      </c>
      <c r="BW52" s="148">
        <v>4.7883404151989164E-3</v>
      </c>
      <c r="BX52" s="142">
        <v>9299.4678461357616</v>
      </c>
      <c r="BY52" s="219">
        <v>2142988.2633993863</v>
      </c>
      <c r="BZ52" s="142">
        <v>391.68</v>
      </c>
      <c r="CA52" s="142">
        <v>3372.12</v>
      </c>
      <c r="CB52" s="188">
        <v>2139224.4633993865</v>
      </c>
      <c r="CC52" s="2"/>
      <c r="CD52" s="212">
        <f>IFERROR(VLOOKUP(B52,#REF!,29,0),0)</f>
        <v>0</v>
      </c>
      <c r="CE52" s="193">
        <f>IFERROR(VLOOKUP(B52,#REF!,28,0),0)</f>
        <v>0</v>
      </c>
      <c r="CF52" s="142"/>
      <c r="CG52" s="194"/>
      <c r="CH52" s="229">
        <v>0</v>
      </c>
      <c r="CI52" s="229">
        <v>0</v>
      </c>
      <c r="CJ52" s="226">
        <v>87764</v>
      </c>
      <c r="CL52" s="401">
        <v>176120</v>
      </c>
      <c r="CM52" s="402" t="s">
        <v>266</v>
      </c>
      <c r="CN52" s="402" t="s">
        <v>266</v>
      </c>
      <c r="CO52" s="402">
        <v>7625</v>
      </c>
      <c r="CP52" s="402">
        <v>0</v>
      </c>
      <c r="CQ52" s="402">
        <v>0</v>
      </c>
      <c r="CR52" s="402">
        <v>94608.6</v>
      </c>
      <c r="CS52" s="402">
        <v>8619.25</v>
      </c>
      <c r="CT52" s="206"/>
      <c r="CU52" s="195"/>
      <c r="CV52" s="2"/>
    </row>
    <row r="53" spans="1:100" ht="14" x14ac:dyDescent="0.25">
      <c r="A53" s="32">
        <v>3122036</v>
      </c>
      <c r="B53" s="184">
        <v>2036</v>
      </c>
      <c r="C53" s="179" t="s">
        <v>126</v>
      </c>
      <c r="D53" s="124">
        <v>392</v>
      </c>
      <c r="E53" s="124">
        <v>392</v>
      </c>
      <c r="F53" s="124">
        <v>0</v>
      </c>
      <c r="G53" s="124">
        <v>0</v>
      </c>
      <c r="H53" s="124">
        <v>0</v>
      </c>
      <c r="I53" s="124">
        <f t="shared" si="22"/>
        <v>162</v>
      </c>
      <c r="J53" s="124">
        <f t="shared" si="23"/>
        <v>0</v>
      </c>
      <c r="K53" s="124">
        <f t="shared" si="24"/>
        <v>169.00000000000006</v>
      </c>
      <c r="L53" s="124">
        <f t="shared" si="25"/>
        <v>0</v>
      </c>
      <c r="M53" s="124">
        <f t="shared" si="26"/>
        <v>135.34526854219931</v>
      </c>
      <c r="N53" s="124">
        <f t="shared" si="27"/>
        <v>172.43989769820985</v>
      </c>
      <c r="O53" s="124">
        <f t="shared" si="28"/>
        <v>2.0051150895140681</v>
      </c>
      <c r="P53" s="124">
        <f t="shared" si="29"/>
        <v>2.0051150895140681</v>
      </c>
      <c r="Q53" s="124">
        <f t="shared" si="30"/>
        <v>1.0025575447570341</v>
      </c>
      <c r="R53" s="124">
        <f t="shared" si="31"/>
        <v>0</v>
      </c>
      <c r="S53" s="124">
        <f t="shared" si="32"/>
        <v>0</v>
      </c>
      <c r="T53" s="124">
        <f t="shared" si="33"/>
        <v>0</v>
      </c>
      <c r="U53" s="124">
        <f t="shared" si="34"/>
        <v>0</v>
      </c>
      <c r="V53" s="124">
        <f t="shared" si="35"/>
        <v>0</v>
      </c>
      <c r="W53" s="124">
        <f t="shared" si="36"/>
        <v>0</v>
      </c>
      <c r="X53" s="124">
        <f t="shared" si="37"/>
        <v>0</v>
      </c>
      <c r="Y53" s="124">
        <f t="shared" si="38"/>
        <v>138.00000000000014</v>
      </c>
      <c r="Z53" s="124">
        <f t="shared" si="39"/>
        <v>0</v>
      </c>
      <c r="AA53" s="124">
        <f t="shared" si="40"/>
        <v>183.84710737753852</v>
      </c>
      <c r="AB53" s="124">
        <f t="shared" si="41"/>
        <v>0</v>
      </c>
      <c r="AC53" s="124">
        <f t="shared" si="42"/>
        <v>21.710769230769081</v>
      </c>
      <c r="AD53" s="124">
        <f t="shared" si="43"/>
        <v>0</v>
      </c>
      <c r="AE53" s="127">
        <v>1674769.04</v>
      </c>
      <c r="AF53" s="63">
        <v>0</v>
      </c>
      <c r="AG53" s="130">
        <v>0</v>
      </c>
      <c r="AH53" s="130">
        <v>88238.159999999989</v>
      </c>
      <c r="AI53" s="130">
        <v>0</v>
      </c>
      <c r="AJ53" s="130">
        <v>197118.49040000007</v>
      </c>
      <c r="AK53" s="130">
        <v>0</v>
      </c>
      <c r="AL53" s="130">
        <v>34998.202127877194</v>
      </c>
      <c r="AM53" s="130">
        <v>54077.600261892621</v>
      </c>
      <c r="AN53" s="134">
        <v>981.82505575447647</v>
      </c>
      <c r="AO53" s="64">
        <v>1081.110735549873</v>
      </c>
      <c r="AP53" s="64">
        <v>573.65059437340199</v>
      </c>
      <c r="AQ53" s="64">
        <v>0</v>
      </c>
      <c r="AR53" s="64">
        <v>0</v>
      </c>
      <c r="AS53" s="64">
        <v>0</v>
      </c>
      <c r="AT53" s="64">
        <v>0</v>
      </c>
      <c r="AU53" s="64">
        <v>0</v>
      </c>
      <c r="AV53" s="64">
        <v>0</v>
      </c>
      <c r="AW53" s="64">
        <v>0</v>
      </c>
      <c r="AX53" s="64">
        <v>90349.980000000098</v>
      </c>
      <c r="AY53" s="64">
        <v>0</v>
      </c>
      <c r="AZ53" s="64">
        <v>237699.60207056711</v>
      </c>
      <c r="BA53" s="64">
        <v>0</v>
      </c>
      <c r="BB53" s="64">
        <v>23053.580307692147</v>
      </c>
      <c r="BC53" s="142">
        <v>0</v>
      </c>
      <c r="BD53" s="142">
        <v>0</v>
      </c>
      <c r="BE53" s="142">
        <v>159662.24</v>
      </c>
      <c r="BF53" s="142"/>
      <c r="BG53" s="142">
        <v>41219.360000000001</v>
      </c>
      <c r="BH53" s="142"/>
      <c r="BI53" s="134">
        <v>0</v>
      </c>
      <c r="BJ53" s="64"/>
      <c r="BK53" s="64"/>
      <c r="BL53" s="142">
        <v>1674769.04</v>
      </c>
      <c r="BM53" s="142">
        <v>728172.20155370701</v>
      </c>
      <c r="BN53" s="142">
        <v>200881.59600000002</v>
      </c>
      <c r="BO53" s="142">
        <v>423760.35420266911</v>
      </c>
      <c r="BP53" s="142">
        <v>2603822.837553707</v>
      </c>
      <c r="BQ53" s="142">
        <v>2603822.837553707</v>
      </c>
      <c r="BR53" s="142">
        <v>0</v>
      </c>
      <c r="BS53" s="142">
        <v>2402941.241553707</v>
      </c>
      <c r="BT53" s="142">
        <v>6129.9521468206813</v>
      </c>
      <c r="BU53" s="142">
        <v>5797.9212668280879</v>
      </c>
      <c r="BV53" s="148">
        <v>5.726722815162337E-2</v>
      </c>
      <c r="BW53" s="148">
        <v>0</v>
      </c>
      <c r="BX53" s="142">
        <v>0</v>
      </c>
      <c r="BY53" s="219">
        <v>2603822.837553707</v>
      </c>
      <c r="BZ53" s="142">
        <v>501.76</v>
      </c>
      <c r="CA53" s="142">
        <v>4319.84</v>
      </c>
      <c r="CB53" s="188">
        <v>2599001.2375537069</v>
      </c>
      <c r="CC53" s="2"/>
      <c r="CD53" s="212">
        <f>IFERROR(VLOOKUP(B53,#REF!,29,0),0)</f>
        <v>0</v>
      </c>
      <c r="CE53" s="193">
        <f>IFERROR(VLOOKUP(B53,#REF!,28,0),0)</f>
        <v>0</v>
      </c>
      <c r="CF53" s="142"/>
      <c r="CG53" s="194"/>
      <c r="CH53" s="229">
        <v>0</v>
      </c>
      <c r="CI53" s="229">
        <v>0</v>
      </c>
      <c r="CJ53" s="226">
        <v>71200</v>
      </c>
      <c r="CL53" s="401">
        <v>251600</v>
      </c>
      <c r="CM53" s="402" t="s">
        <v>266</v>
      </c>
      <c r="CN53" s="402" t="s">
        <v>266</v>
      </c>
      <c r="CO53" s="402">
        <v>8450</v>
      </c>
      <c r="CP53" s="402">
        <v>31164.75</v>
      </c>
      <c r="CQ53" s="402">
        <v>90377.774999999994</v>
      </c>
      <c r="CR53" s="402">
        <v>0</v>
      </c>
      <c r="CS53" s="402">
        <v>8803.75</v>
      </c>
      <c r="CT53" s="206"/>
      <c r="CU53" s="195"/>
      <c r="CV53" s="2"/>
    </row>
    <row r="54" spans="1:100" ht="14" hidden="1" x14ac:dyDescent="0.25">
      <c r="A54" s="32">
        <v>3122022</v>
      </c>
      <c r="B54" s="184">
        <v>2022</v>
      </c>
      <c r="C54" s="179" t="s">
        <v>128</v>
      </c>
      <c r="D54" s="124">
        <v>193</v>
      </c>
      <c r="E54" s="124">
        <v>193</v>
      </c>
      <c r="F54" s="124">
        <v>0</v>
      </c>
      <c r="G54" s="124">
        <v>0</v>
      </c>
      <c r="H54" s="124">
        <v>0</v>
      </c>
      <c r="I54" s="124">
        <f t="shared" si="22"/>
        <v>19.000000000000004</v>
      </c>
      <c r="J54" s="124">
        <f t="shared" si="23"/>
        <v>0</v>
      </c>
      <c r="K54" s="124">
        <f t="shared" si="24"/>
        <v>20.999999999999918</v>
      </c>
      <c r="L54" s="124">
        <f t="shared" si="25"/>
        <v>0</v>
      </c>
      <c r="M54" s="124">
        <f t="shared" si="26"/>
        <v>59.999999999999986</v>
      </c>
      <c r="N54" s="124">
        <f t="shared" si="27"/>
        <v>32.999999999999957</v>
      </c>
      <c r="O54" s="124">
        <f t="shared" si="28"/>
        <v>2.9999999999999996</v>
      </c>
      <c r="P54" s="124">
        <f t="shared" si="29"/>
        <v>0</v>
      </c>
      <c r="Q54" s="124">
        <f t="shared" si="30"/>
        <v>2.9999999999999996</v>
      </c>
      <c r="R54" s="124">
        <f t="shared" si="31"/>
        <v>0</v>
      </c>
      <c r="S54" s="124">
        <f t="shared" si="32"/>
        <v>0</v>
      </c>
      <c r="T54" s="124">
        <f t="shared" si="33"/>
        <v>0</v>
      </c>
      <c r="U54" s="124">
        <f t="shared" si="34"/>
        <v>0</v>
      </c>
      <c r="V54" s="124">
        <f t="shared" si="35"/>
        <v>0</v>
      </c>
      <c r="W54" s="124">
        <f t="shared" si="36"/>
        <v>0</v>
      </c>
      <c r="X54" s="124">
        <f t="shared" si="37"/>
        <v>0</v>
      </c>
      <c r="Y54" s="124">
        <f t="shared" si="38"/>
        <v>83.04848484848479</v>
      </c>
      <c r="Z54" s="124">
        <f t="shared" si="39"/>
        <v>0</v>
      </c>
      <c r="AA54" s="124">
        <f t="shared" si="40"/>
        <v>43.122862922539525</v>
      </c>
      <c r="AB54" s="124">
        <f t="shared" si="41"/>
        <v>0</v>
      </c>
      <c r="AC54" s="124">
        <f t="shared" si="42"/>
        <v>17.420000000000009</v>
      </c>
      <c r="AD54" s="124">
        <f t="shared" si="43"/>
        <v>0</v>
      </c>
      <c r="AE54" s="127">
        <v>824567.41</v>
      </c>
      <c r="AF54" s="63">
        <v>0</v>
      </c>
      <c r="AG54" s="130">
        <v>0</v>
      </c>
      <c r="AH54" s="130">
        <v>10348.920000000002</v>
      </c>
      <c r="AI54" s="130">
        <v>0</v>
      </c>
      <c r="AJ54" s="130">
        <v>24494.013599999904</v>
      </c>
      <c r="AK54" s="130">
        <v>0</v>
      </c>
      <c r="AL54" s="130">
        <v>15515.075999999997</v>
      </c>
      <c r="AM54" s="130">
        <v>10348.885799999987</v>
      </c>
      <c r="AN54" s="134">
        <v>1468.9805999999996</v>
      </c>
      <c r="AO54" s="64">
        <v>0</v>
      </c>
      <c r="AP54" s="64">
        <v>1716.5615999999995</v>
      </c>
      <c r="AQ54" s="64">
        <v>0</v>
      </c>
      <c r="AR54" s="64">
        <v>0</v>
      </c>
      <c r="AS54" s="64">
        <v>0</v>
      </c>
      <c r="AT54" s="64">
        <v>0</v>
      </c>
      <c r="AU54" s="64">
        <v>0</v>
      </c>
      <c r="AV54" s="64">
        <v>0</v>
      </c>
      <c r="AW54" s="64">
        <v>0</v>
      </c>
      <c r="AX54" s="64">
        <v>54372.67351515148</v>
      </c>
      <c r="AY54" s="64">
        <v>0</v>
      </c>
      <c r="AZ54" s="64">
        <v>55754.411929809808</v>
      </c>
      <c r="BA54" s="64">
        <v>0</v>
      </c>
      <c r="BB54" s="64">
        <v>18497.427000000007</v>
      </c>
      <c r="BC54" s="142">
        <v>0</v>
      </c>
      <c r="BD54" s="142">
        <v>0</v>
      </c>
      <c r="BE54" s="142">
        <v>159662.24</v>
      </c>
      <c r="BF54" s="142"/>
      <c r="BG54" s="142">
        <v>0</v>
      </c>
      <c r="BH54" s="142"/>
      <c r="BI54" s="134">
        <v>0</v>
      </c>
      <c r="BJ54" s="64"/>
      <c r="BK54" s="64"/>
      <c r="BL54" s="142">
        <v>824567.41</v>
      </c>
      <c r="BM54" s="142">
        <v>192516.95004496118</v>
      </c>
      <c r="BN54" s="142">
        <v>159662.236</v>
      </c>
      <c r="BO54" s="142">
        <v>115425.19648602117</v>
      </c>
      <c r="BP54" s="142">
        <v>1176746.5960449611</v>
      </c>
      <c r="BQ54" s="142">
        <v>1176746.5960449614</v>
      </c>
      <c r="BR54" s="142">
        <v>0</v>
      </c>
      <c r="BS54" s="142">
        <v>1017084.3600449611</v>
      </c>
      <c r="BT54" s="142">
        <v>5269.8671504920267</v>
      </c>
      <c r="BU54" s="142">
        <v>5411.5121649999992</v>
      </c>
      <c r="BV54" s="148">
        <v>-2.6174756738807505E-2</v>
      </c>
      <c r="BW54" s="148">
        <v>2.6174756738807505E-2</v>
      </c>
      <c r="BX54" s="142">
        <v>27337.487800038696</v>
      </c>
      <c r="BY54" s="219">
        <v>1204084.0838449998</v>
      </c>
      <c r="BZ54" s="142">
        <v>0</v>
      </c>
      <c r="CA54" s="142">
        <v>0</v>
      </c>
      <c r="CB54" s="188">
        <v>1204084.0838449998</v>
      </c>
      <c r="CC54" s="2"/>
      <c r="CD54" s="212">
        <f>IFERROR(VLOOKUP(B54,#REF!,29,0),0)</f>
        <v>0</v>
      </c>
      <c r="CE54" s="193">
        <f>IFERROR(VLOOKUP(B54,#REF!,28,0),0)</f>
        <v>0</v>
      </c>
      <c r="CF54" s="142"/>
      <c r="CG54" s="194"/>
      <c r="CH54" s="229">
        <v>0</v>
      </c>
      <c r="CI54" s="229">
        <v>0</v>
      </c>
      <c r="CJ54" s="226">
        <v>9101</v>
      </c>
      <c r="CL54" s="401">
        <v>0</v>
      </c>
      <c r="CM54" s="402">
        <v>0</v>
      </c>
      <c r="CN54" s="402">
        <v>0</v>
      </c>
      <c r="CO54" s="402">
        <v>0</v>
      </c>
      <c r="CP54" s="402">
        <v>6797.25</v>
      </c>
      <c r="CQ54" s="402">
        <v>19712.025000000001</v>
      </c>
      <c r="CR54" s="402">
        <v>0</v>
      </c>
      <c r="CS54" s="402">
        <v>0</v>
      </c>
      <c r="CT54" s="206"/>
      <c r="CU54" s="195"/>
      <c r="CV54" s="2"/>
    </row>
    <row r="55" spans="1:100" ht="14" x14ac:dyDescent="0.25">
      <c r="A55" s="32">
        <v>3122039</v>
      </c>
      <c r="B55" s="184">
        <v>2039</v>
      </c>
      <c r="C55" s="179" t="s">
        <v>279</v>
      </c>
      <c r="D55" s="124">
        <v>257</v>
      </c>
      <c r="E55" s="124">
        <v>257</v>
      </c>
      <c r="F55" s="124">
        <v>0</v>
      </c>
      <c r="G55" s="124">
        <v>0</v>
      </c>
      <c r="H55" s="124">
        <v>0</v>
      </c>
      <c r="I55" s="124">
        <f t="shared" si="22"/>
        <v>16</v>
      </c>
      <c r="J55" s="124">
        <f t="shared" si="23"/>
        <v>0</v>
      </c>
      <c r="K55" s="124">
        <f t="shared" si="24"/>
        <v>16</v>
      </c>
      <c r="L55" s="124">
        <f t="shared" si="25"/>
        <v>0</v>
      </c>
      <c r="M55" s="124">
        <f t="shared" si="26"/>
        <v>21.999999999999993</v>
      </c>
      <c r="N55" s="124">
        <f t="shared" si="27"/>
        <v>2.0000000000000013</v>
      </c>
      <c r="O55" s="124">
        <f t="shared" si="28"/>
        <v>0</v>
      </c>
      <c r="P55" s="124">
        <f t="shared" si="29"/>
        <v>0</v>
      </c>
      <c r="Q55" s="124">
        <f t="shared" si="30"/>
        <v>0</v>
      </c>
      <c r="R55" s="124">
        <f t="shared" si="31"/>
        <v>0</v>
      </c>
      <c r="S55" s="124">
        <f t="shared" si="32"/>
        <v>0</v>
      </c>
      <c r="T55" s="124">
        <f t="shared" si="33"/>
        <v>0</v>
      </c>
      <c r="U55" s="124">
        <f t="shared" si="34"/>
        <v>0</v>
      </c>
      <c r="V55" s="124">
        <f t="shared" si="35"/>
        <v>0</v>
      </c>
      <c r="W55" s="124">
        <f t="shared" si="36"/>
        <v>0</v>
      </c>
      <c r="X55" s="124">
        <f t="shared" si="37"/>
        <v>0</v>
      </c>
      <c r="Y55" s="124">
        <f t="shared" si="38"/>
        <v>37.965909090909165</v>
      </c>
      <c r="Z55" s="124">
        <f t="shared" si="39"/>
        <v>0</v>
      </c>
      <c r="AA55" s="124">
        <f t="shared" si="40"/>
        <v>71.053106042683183</v>
      </c>
      <c r="AB55" s="124">
        <f t="shared" si="41"/>
        <v>0</v>
      </c>
      <c r="AC55" s="124">
        <f t="shared" si="42"/>
        <v>0</v>
      </c>
      <c r="AD55" s="124">
        <f t="shared" si="43"/>
        <v>0</v>
      </c>
      <c r="AE55" s="127">
        <v>1097999.0900000001</v>
      </c>
      <c r="AF55" s="63">
        <v>0</v>
      </c>
      <c r="AG55" s="130">
        <v>0</v>
      </c>
      <c r="AH55" s="130">
        <v>8714.8799999999992</v>
      </c>
      <c r="AI55" s="130">
        <v>0</v>
      </c>
      <c r="AJ55" s="130">
        <v>18662.105599999999</v>
      </c>
      <c r="AK55" s="130">
        <v>0</v>
      </c>
      <c r="AL55" s="130">
        <v>5688.8611999999985</v>
      </c>
      <c r="AM55" s="130">
        <v>627.20520000000045</v>
      </c>
      <c r="AN55" s="134">
        <v>0</v>
      </c>
      <c r="AO55" s="64">
        <v>0</v>
      </c>
      <c r="AP55" s="64">
        <v>0</v>
      </c>
      <c r="AQ55" s="64">
        <v>0</v>
      </c>
      <c r="AR55" s="64">
        <v>0</v>
      </c>
      <c r="AS55" s="64">
        <v>0</v>
      </c>
      <c r="AT55" s="64">
        <v>0</v>
      </c>
      <c r="AU55" s="64">
        <v>0</v>
      </c>
      <c r="AV55" s="64">
        <v>0</v>
      </c>
      <c r="AW55" s="64">
        <v>0</v>
      </c>
      <c r="AX55" s="64">
        <v>24856.66034090914</v>
      </c>
      <c r="AY55" s="64">
        <v>0</v>
      </c>
      <c r="AZ55" s="64">
        <v>91865.981864705944</v>
      </c>
      <c r="BA55" s="64">
        <v>0</v>
      </c>
      <c r="BB55" s="64">
        <v>0</v>
      </c>
      <c r="BC55" s="142">
        <v>0</v>
      </c>
      <c r="BD55" s="142">
        <v>0</v>
      </c>
      <c r="BE55" s="142">
        <v>159662.24</v>
      </c>
      <c r="BF55" s="142"/>
      <c r="BG55" s="142">
        <v>27878.240000000002</v>
      </c>
      <c r="BH55" s="142"/>
      <c r="BI55" s="134">
        <v>0</v>
      </c>
      <c r="BJ55" s="64"/>
      <c r="BK55" s="64"/>
      <c r="BL55" s="142">
        <v>1097999.0900000001</v>
      </c>
      <c r="BM55" s="142">
        <v>150415.69420561509</v>
      </c>
      <c r="BN55" s="142">
        <v>187540.476</v>
      </c>
      <c r="BO55" s="142">
        <v>143029.67032482356</v>
      </c>
      <c r="BP55" s="142">
        <v>1435955.2602056151</v>
      </c>
      <c r="BQ55" s="142">
        <v>1435955.2602056148</v>
      </c>
      <c r="BR55" s="142">
        <v>0</v>
      </c>
      <c r="BS55" s="142">
        <v>1248414.7842056151</v>
      </c>
      <c r="BT55" s="142">
        <v>4857.6450747300196</v>
      </c>
      <c r="BU55" s="142">
        <v>4882.0673920152085</v>
      </c>
      <c r="BV55" s="148">
        <v>-5.0024539450505053E-3</v>
      </c>
      <c r="BW55" s="148">
        <v>5.0024539450505053E-3</v>
      </c>
      <c r="BX55" s="142">
        <v>6276.53554229355</v>
      </c>
      <c r="BY55" s="219">
        <v>1442231.7957479085</v>
      </c>
      <c r="BZ55" s="142">
        <v>328.96</v>
      </c>
      <c r="CA55" s="142">
        <v>2832.14</v>
      </c>
      <c r="CB55" s="188">
        <v>1439070.6957479084</v>
      </c>
      <c r="CC55" s="2"/>
      <c r="CD55" s="212">
        <f>IFERROR(VLOOKUP(B55,#REF!,29,0),0)</f>
        <v>0</v>
      </c>
      <c r="CE55" s="193">
        <f>IFERROR(VLOOKUP(B55,#REF!,28,0),0)</f>
        <v>0</v>
      </c>
      <c r="CF55" s="142"/>
      <c r="CG55" s="194"/>
      <c r="CH55" s="229">
        <v>0</v>
      </c>
      <c r="CI55" s="229">
        <v>0</v>
      </c>
      <c r="CJ55" s="226">
        <v>22200</v>
      </c>
      <c r="CL55" s="401">
        <v>29600</v>
      </c>
      <c r="CM55" s="402" t="s">
        <v>266</v>
      </c>
      <c r="CN55" s="402" t="s">
        <v>266</v>
      </c>
      <c r="CO55" s="402">
        <v>7412</v>
      </c>
      <c r="CP55" s="402">
        <v>0</v>
      </c>
      <c r="CQ55" s="402">
        <v>0</v>
      </c>
      <c r="CR55" s="402">
        <v>112746</v>
      </c>
      <c r="CS55" s="402">
        <v>7404.25</v>
      </c>
      <c r="CT55" s="206"/>
      <c r="CU55" s="195"/>
      <c r="CV55" s="2"/>
    </row>
    <row r="56" spans="1:100" ht="14" x14ac:dyDescent="0.25">
      <c r="A56" s="32">
        <v>3122038</v>
      </c>
      <c r="B56" s="184">
        <v>2038</v>
      </c>
      <c r="C56" s="179" t="s">
        <v>131</v>
      </c>
      <c r="D56" s="124">
        <v>353</v>
      </c>
      <c r="E56" s="124">
        <v>353</v>
      </c>
      <c r="F56" s="124">
        <v>0</v>
      </c>
      <c r="G56" s="124">
        <v>0</v>
      </c>
      <c r="H56" s="124">
        <v>0</v>
      </c>
      <c r="I56" s="124">
        <f t="shared" si="22"/>
        <v>34</v>
      </c>
      <c r="J56" s="124">
        <f t="shared" si="23"/>
        <v>0</v>
      </c>
      <c r="K56" s="124">
        <f t="shared" si="24"/>
        <v>38.000000000000149</v>
      </c>
      <c r="L56" s="124">
        <f t="shared" si="25"/>
        <v>0</v>
      </c>
      <c r="M56" s="124">
        <f t="shared" si="26"/>
        <v>12.000000000000002</v>
      </c>
      <c r="N56" s="124">
        <f t="shared" si="27"/>
        <v>1</v>
      </c>
      <c r="O56" s="124">
        <f t="shared" si="28"/>
        <v>0</v>
      </c>
      <c r="P56" s="124">
        <f t="shared" si="29"/>
        <v>2</v>
      </c>
      <c r="Q56" s="124">
        <f t="shared" si="30"/>
        <v>0</v>
      </c>
      <c r="R56" s="124">
        <f t="shared" si="31"/>
        <v>0</v>
      </c>
      <c r="S56" s="124">
        <f t="shared" si="32"/>
        <v>0</v>
      </c>
      <c r="T56" s="124">
        <f t="shared" si="33"/>
        <v>0</v>
      </c>
      <c r="U56" s="124">
        <f t="shared" si="34"/>
        <v>0</v>
      </c>
      <c r="V56" s="124">
        <f t="shared" si="35"/>
        <v>0</v>
      </c>
      <c r="W56" s="124">
        <f t="shared" si="36"/>
        <v>0</v>
      </c>
      <c r="X56" s="124">
        <f t="shared" si="37"/>
        <v>0</v>
      </c>
      <c r="Y56" s="124">
        <f t="shared" si="38"/>
        <v>22</v>
      </c>
      <c r="Z56" s="124">
        <f t="shared" si="39"/>
        <v>0</v>
      </c>
      <c r="AA56" s="124">
        <f t="shared" si="40"/>
        <v>82.821550579724985</v>
      </c>
      <c r="AB56" s="124">
        <f t="shared" si="41"/>
        <v>0</v>
      </c>
      <c r="AC56" s="124">
        <f t="shared" si="42"/>
        <v>0</v>
      </c>
      <c r="AD56" s="124">
        <f t="shared" si="43"/>
        <v>0</v>
      </c>
      <c r="AE56" s="127">
        <v>1508146.6099999999</v>
      </c>
      <c r="AF56" s="63">
        <v>0</v>
      </c>
      <c r="AG56" s="130">
        <v>0</v>
      </c>
      <c r="AH56" s="130">
        <v>18519.12</v>
      </c>
      <c r="AI56" s="130">
        <v>0</v>
      </c>
      <c r="AJ56" s="130">
        <v>44322.500800000169</v>
      </c>
      <c r="AK56" s="130">
        <v>0</v>
      </c>
      <c r="AL56" s="130">
        <v>3103.0152000000007</v>
      </c>
      <c r="AM56" s="130">
        <v>313.6026</v>
      </c>
      <c r="AN56" s="134">
        <v>0</v>
      </c>
      <c r="AO56" s="64">
        <v>1078.3527999999999</v>
      </c>
      <c r="AP56" s="64">
        <v>0</v>
      </c>
      <c r="AQ56" s="64">
        <v>0</v>
      </c>
      <c r="AR56" s="64">
        <v>0</v>
      </c>
      <c r="AS56" s="64">
        <v>0</v>
      </c>
      <c r="AT56" s="64">
        <v>0</v>
      </c>
      <c r="AU56" s="64">
        <v>0</v>
      </c>
      <c r="AV56" s="64">
        <v>0</v>
      </c>
      <c r="AW56" s="64">
        <v>0</v>
      </c>
      <c r="AX56" s="64">
        <v>14403.62</v>
      </c>
      <c r="AY56" s="64">
        <v>0</v>
      </c>
      <c r="AZ56" s="64">
        <v>107081.63917553803</v>
      </c>
      <c r="BA56" s="64">
        <v>0</v>
      </c>
      <c r="BB56" s="64">
        <v>0</v>
      </c>
      <c r="BC56" s="142">
        <v>0</v>
      </c>
      <c r="BD56" s="142">
        <v>0</v>
      </c>
      <c r="BE56" s="142">
        <v>159662.24</v>
      </c>
      <c r="BF56" s="142"/>
      <c r="BG56" s="142">
        <v>27878.240000000002</v>
      </c>
      <c r="BH56" s="142"/>
      <c r="BI56" s="134">
        <v>0</v>
      </c>
      <c r="BJ56" s="64"/>
      <c r="BK56" s="64"/>
      <c r="BL56" s="142">
        <v>1508146.6099999999</v>
      </c>
      <c r="BM56" s="142">
        <v>188821.85057553818</v>
      </c>
      <c r="BN56" s="142">
        <v>187540.476</v>
      </c>
      <c r="BO56" s="142">
        <v>182825.3836470058</v>
      </c>
      <c r="BP56" s="142">
        <v>1884508.936575538</v>
      </c>
      <c r="BQ56" s="142">
        <v>1884508.9365755385</v>
      </c>
      <c r="BR56" s="142">
        <v>0</v>
      </c>
      <c r="BS56" s="142">
        <v>1696968.460575538</v>
      </c>
      <c r="BT56" s="142">
        <v>4807.2760922819771</v>
      </c>
      <c r="BU56" s="142">
        <v>4780.2866005602236</v>
      </c>
      <c r="BV56" s="148">
        <v>5.6459986559363236E-3</v>
      </c>
      <c r="BW56" s="148">
        <v>0</v>
      </c>
      <c r="BX56" s="142">
        <v>0</v>
      </c>
      <c r="BY56" s="219">
        <v>1884508.936575538</v>
      </c>
      <c r="BZ56" s="142">
        <v>451.84000000000003</v>
      </c>
      <c r="CA56" s="142">
        <v>3890.06</v>
      </c>
      <c r="CB56" s="188">
        <v>1880167.0365755381</v>
      </c>
      <c r="CC56" s="2"/>
      <c r="CD56" s="212">
        <f>IFERROR(VLOOKUP(B56,#REF!,29,0),0)</f>
        <v>0</v>
      </c>
      <c r="CE56" s="193">
        <f>IFERROR(VLOOKUP(B56,#REF!,28,0),0)</f>
        <v>0</v>
      </c>
      <c r="CF56" s="142"/>
      <c r="CG56" s="194"/>
      <c r="CH56" s="229">
        <v>0</v>
      </c>
      <c r="CI56" s="229">
        <v>0</v>
      </c>
      <c r="CJ56" s="226">
        <v>35500</v>
      </c>
      <c r="CL56" s="401">
        <v>50320</v>
      </c>
      <c r="CM56" s="402" t="s">
        <v>266</v>
      </c>
      <c r="CN56" s="402">
        <v>12650</v>
      </c>
      <c r="CO56" s="402">
        <v>8154</v>
      </c>
      <c r="CP56" s="402">
        <v>41424.75</v>
      </c>
      <c r="CQ56" s="402">
        <v>120131.77500000001</v>
      </c>
      <c r="CR56" s="402">
        <v>0</v>
      </c>
      <c r="CS56" s="402">
        <v>8016.25</v>
      </c>
      <c r="CT56" s="206"/>
      <c r="CU56" s="195"/>
      <c r="CV56" s="2"/>
    </row>
    <row r="57" spans="1:100" ht="14" hidden="1" x14ac:dyDescent="0.25">
      <c r="A57" s="32">
        <v>3125405</v>
      </c>
      <c r="B57" s="184">
        <v>5405</v>
      </c>
      <c r="C57" s="179" t="s">
        <v>132</v>
      </c>
      <c r="D57" s="124">
        <v>893</v>
      </c>
      <c r="E57" s="124">
        <v>0</v>
      </c>
      <c r="F57" s="124">
        <v>893</v>
      </c>
      <c r="G57" s="124">
        <v>536</v>
      </c>
      <c r="H57" s="124">
        <v>357</v>
      </c>
      <c r="I57" s="124">
        <f t="shared" si="22"/>
        <v>0</v>
      </c>
      <c r="J57" s="124">
        <f t="shared" si="23"/>
        <v>164.99999999999983</v>
      </c>
      <c r="K57" s="124">
        <f t="shared" si="24"/>
        <v>0</v>
      </c>
      <c r="L57" s="124">
        <f t="shared" si="25"/>
        <v>179.99999999999969</v>
      </c>
      <c r="M57" s="124">
        <f t="shared" si="26"/>
        <v>0</v>
      </c>
      <c r="N57" s="124">
        <f t="shared" si="27"/>
        <v>0</v>
      </c>
      <c r="O57" s="124">
        <f t="shared" si="28"/>
        <v>0</v>
      </c>
      <c r="P57" s="124">
        <f t="shared" si="29"/>
        <v>0</v>
      </c>
      <c r="Q57" s="124">
        <f t="shared" si="30"/>
        <v>0</v>
      </c>
      <c r="R57" s="124">
        <f t="shared" si="31"/>
        <v>0</v>
      </c>
      <c r="S57" s="124">
        <f t="shared" si="32"/>
        <v>142.99999999999994</v>
      </c>
      <c r="T57" s="124">
        <f t="shared" si="33"/>
        <v>8.0000000000000036</v>
      </c>
      <c r="U57" s="124">
        <f t="shared" si="34"/>
        <v>70.999999999999972</v>
      </c>
      <c r="V57" s="124">
        <f t="shared" si="35"/>
        <v>2.0000000000000031</v>
      </c>
      <c r="W57" s="124">
        <f t="shared" si="36"/>
        <v>0</v>
      </c>
      <c r="X57" s="124">
        <f t="shared" si="37"/>
        <v>0</v>
      </c>
      <c r="Y57" s="124">
        <f t="shared" si="38"/>
        <v>0</v>
      </c>
      <c r="Z57" s="124">
        <f t="shared" si="39"/>
        <v>44.049432767249264</v>
      </c>
      <c r="AA57" s="124">
        <f t="shared" si="40"/>
        <v>0</v>
      </c>
      <c r="AB57" s="124">
        <f t="shared" si="41"/>
        <v>195.49426195767336</v>
      </c>
      <c r="AC57" s="124">
        <f t="shared" si="42"/>
        <v>0</v>
      </c>
      <c r="AD57" s="124">
        <f t="shared" si="43"/>
        <v>0</v>
      </c>
      <c r="AE57" s="127">
        <v>0</v>
      </c>
      <c r="AF57" s="63">
        <v>3133456</v>
      </c>
      <c r="AG57" s="130">
        <v>2352630</v>
      </c>
      <c r="AH57" s="130">
        <v>0</v>
      </c>
      <c r="AI57" s="130">
        <v>89872.199999999895</v>
      </c>
      <c r="AJ57" s="130">
        <v>0</v>
      </c>
      <c r="AK57" s="130">
        <v>307990.76399999944</v>
      </c>
      <c r="AL57" s="130">
        <v>0</v>
      </c>
      <c r="AM57" s="130">
        <v>0</v>
      </c>
      <c r="AN57" s="134">
        <v>0</v>
      </c>
      <c r="AO57" s="64">
        <v>0</v>
      </c>
      <c r="AP57" s="64">
        <v>0</v>
      </c>
      <c r="AQ57" s="64">
        <v>0</v>
      </c>
      <c r="AR57" s="64">
        <v>53499.503199999985</v>
      </c>
      <c r="AS57" s="64">
        <v>3961.2960000000016</v>
      </c>
      <c r="AT57" s="64">
        <v>49609.730599999981</v>
      </c>
      <c r="AU57" s="64">
        <v>1529.5004000000022</v>
      </c>
      <c r="AV57" s="64">
        <v>0</v>
      </c>
      <c r="AW57" s="64">
        <v>0</v>
      </c>
      <c r="AX57" s="64">
        <v>0</v>
      </c>
      <c r="AY57" s="64">
        <v>77309.837966816165</v>
      </c>
      <c r="AZ57" s="64">
        <v>0</v>
      </c>
      <c r="BA57" s="64">
        <v>383978.09968154458</v>
      </c>
      <c r="BB57" s="64">
        <v>0</v>
      </c>
      <c r="BC57" s="142">
        <v>0</v>
      </c>
      <c r="BD57" s="142">
        <v>0</v>
      </c>
      <c r="BE57" s="142"/>
      <c r="BF57" s="142">
        <v>159662.24</v>
      </c>
      <c r="BG57" s="142">
        <v>66763.839999999997</v>
      </c>
      <c r="BH57" s="142"/>
      <c r="BI57" s="134">
        <v>0</v>
      </c>
      <c r="BJ57" s="64"/>
      <c r="BK57" s="64"/>
      <c r="BL57" s="142">
        <v>5486086</v>
      </c>
      <c r="BM57" s="142">
        <v>967750.93184835999</v>
      </c>
      <c r="BN57" s="142">
        <v>226426.076</v>
      </c>
      <c r="BO57" s="142">
        <v>581397.70454605098</v>
      </c>
      <c r="BP57" s="142">
        <v>6680263.0078483606</v>
      </c>
      <c r="BQ57" s="142">
        <v>0</v>
      </c>
      <c r="BR57" s="142">
        <v>6680263.0078483624</v>
      </c>
      <c r="BS57" s="142">
        <v>6453836.9318483612</v>
      </c>
      <c r="BT57" s="142">
        <v>7227.1410211067878</v>
      </c>
      <c r="BU57" s="142">
        <v>7148.0184025784765</v>
      </c>
      <c r="BV57" s="148">
        <v>1.1069168274632541E-2</v>
      </c>
      <c r="BW57" s="148">
        <v>0</v>
      </c>
      <c r="BX57" s="142">
        <v>0</v>
      </c>
      <c r="BY57" s="219">
        <v>6680263.0078483606</v>
      </c>
      <c r="BZ57" s="142">
        <v>0</v>
      </c>
      <c r="CA57" s="142">
        <v>0</v>
      </c>
      <c r="CB57" s="188">
        <v>6680263.0078483606</v>
      </c>
      <c r="CC57" s="2"/>
      <c r="CD57" s="212">
        <f>IFERROR(VLOOKUP(B57,#REF!,29,0),0)</f>
        <v>0</v>
      </c>
      <c r="CE57" s="193">
        <f>IFERROR(VLOOKUP(B57,#REF!,28,0),0)</f>
        <v>0</v>
      </c>
      <c r="CF57" s="142"/>
      <c r="CG57" s="194"/>
      <c r="CH57" s="229">
        <v>60000</v>
      </c>
      <c r="CI57" s="229">
        <v>0</v>
      </c>
      <c r="CJ57" s="226">
        <v>196090</v>
      </c>
      <c r="CL57" s="401">
        <v>0</v>
      </c>
      <c r="CM57" s="402">
        <v>0</v>
      </c>
      <c r="CN57" s="402">
        <v>0</v>
      </c>
      <c r="CO57" s="402">
        <v>0</v>
      </c>
      <c r="CP57" s="402">
        <v>0</v>
      </c>
      <c r="CQ57" s="402">
        <v>0</v>
      </c>
      <c r="CR57" s="402">
        <v>0</v>
      </c>
      <c r="CS57" s="402">
        <v>0</v>
      </c>
      <c r="CT57" s="206"/>
      <c r="CU57" s="195"/>
      <c r="CV57" s="2"/>
    </row>
    <row r="58" spans="1:100" ht="14" x14ac:dyDescent="0.25">
      <c r="A58" s="32">
        <v>3125200</v>
      </c>
      <c r="B58" s="184">
        <v>5200</v>
      </c>
      <c r="C58" s="179" t="s">
        <v>280</v>
      </c>
      <c r="D58" s="124">
        <v>544</v>
      </c>
      <c r="E58" s="124">
        <v>544</v>
      </c>
      <c r="F58" s="124">
        <v>0</v>
      </c>
      <c r="G58" s="124">
        <v>0</v>
      </c>
      <c r="H58" s="124">
        <v>0</v>
      </c>
      <c r="I58" s="124">
        <f t="shared" si="22"/>
        <v>80.999999999999773</v>
      </c>
      <c r="J58" s="124">
        <f t="shared" si="23"/>
        <v>0</v>
      </c>
      <c r="K58" s="124">
        <f t="shared" si="24"/>
        <v>86.000000000000199</v>
      </c>
      <c r="L58" s="124">
        <f t="shared" si="25"/>
        <v>0</v>
      </c>
      <c r="M58" s="124">
        <f t="shared" si="26"/>
        <v>38.000000000000007</v>
      </c>
      <c r="N58" s="124">
        <f t="shared" si="27"/>
        <v>25.999999999999986</v>
      </c>
      <c r="O58" s="124">
        <f t="shared" si="28"/>
        <v>0</v>
      </c>
      <c r="P58" s="124">
        <f t="shared" si="29"/>
        <v>1.999999999999998</v>
      </c>
      <c r="Q58" s="124">
        <f t="shared" si="30"/>
        <v>0</v>
      </c>
      <c r="R58" s="124">
        <f t="shared" si="31"/>
        <v>0</v>
      </c>
      <c r="S58" s="124">
        <f t="shared" si="32"/>
        <v>0</v>
      </c>
      <c r="T58" s="124">
        <f t="shared" si="33"/>
        <v>0</v>
      </c>
      <c r="U58" s="124">
        <f t="shared" si="34"/>
        <v>0</v>
      </c>
      <c r="V58" s="124">
        <f t="shared" si="35"/>
        <v>0</v>
      </c>
      <c r="W58" s="124">
        <f t="shared" si="36"/>
        <v>0</v>
      </c>
      <c r="X58" s="124">
        <f t="shared" si="37"/>
        <v>0</v>
      </c>
      <c r="Y58" s="124">
        <f t="shared" si="38"/>
        <v>194.03821656050957</v>
      </c>
      <c r="Z58" s="124">
        <f t="shared" si="39"/>
        <v>0</v>
      </c>
      <c r="AA58" s="124">
        <f t="shared" si="40"/>
        <v>167.32558955158538</v>
      </c>
      <c r="AB58" s="124">
        <f t="shared" si="41"/>
        <v>0</v>
      </c>
      <c r="AC58" s="124">
        <f t="shared" si="42"/>
        <v>2.359999999999975</v>
      </c>
      <c r="AD58" s="124">
        <f t="shared" si="43"/>
        <v>0</v>
      </c>
      <c r="AE58" s="127">
        <v>2324169.2799999998</v>
      </c>
      <c r="AF58" s="63">
        <v>0</v>
      </c>
      <c r="AG58" s="130">
        <v>0</v>
      </c>
      <c r="AH58" s="130">
        <v>44119.079999999871</v>
      </c>
      <c r="AI58" s="130">
        <v>0</v>
      </c>
      <c r="AJ58" s="130">
        <v>100308.81760000023</v>
      </c>
      <c r="AK58" s="130">
        <v>0</v>
      </c>
      <c r="AL58" s="130">
        <v>9826.2148000000034</v>
      </c>
      <c r="AM58" s="130">
        <v>8153.6675999999952</v>
      </c>
      <c r="AN58" s="134">
        <v>0</v>
      </c>
      <c r="AO58" s="64">
        <v>1078.3527999999988</v>
      </c>
      <c r="AP58" s="64">
        <v>0</v>
      </c>
      <c r="AQ58" s="64">
        <v>0</v>
      </c>
      <c r="AR58" s="64">
        <v>0</v>
      </c>
      <c r="AS58" s="64">
        <v>0</v>
      </c>
      <c r="AT58" s="64">
        <v>0</v>
      </c>
      <c r="AU58" s="64">
        <v>0</v>
      </c>
      <c r="AV58" s="64">
        <v>0</v>
      </c>
      <c r="AW58" s="64">
        <v>0</v>
      </c>
      <c r="AX58" s="64">
        <v>127038.76076433122</v>
      </c>
      <c r="AY58" s="64">
        <v>0</v>
      </c>
      <c r="AZ58" s="64">
        <v>216338.60124303578</v>
      </c>
      <c r="BA58" s="64">
        <v>0</v>
      </c>
      <c r="BB58" s="64">
        <v>2505.9659999999731</v>
      </c>
      <c r="BC58" s="142">
        <v>0</v>
      </c>
      <c r="BD58" s="142">
        <v>0</v>
      </c>
      <c r="BE58" s="142">
        <v>159662.24</v>
      </c>
      <c r="BF58" s="142"/>
      <c r="BG58" s="142">
        <v>15381.350399999999</v>
      </c>
      <c r="BH58" s="142"/>
      <c r="BI58" s="134">
        <v>0</v>
      </c>
      <c r="BJ58" s="64"/>
      <c r="BK58" s="64"/>
      <c r="BL58" s="142">
        <v>2324169.2799999998</v>
      </c>
      <c r="BM58" s="142">
        <v>509369.46080736705</v>
      </c>
      <c r="BN58" s="142">
        <v>175043.5864</v>
      </c>
      <c r="BO58" s="142">
        <v>347102.12962045369</v>
      </c>
      <c r="BP58" s="142">
        <v>3008582.3272073669</v>
      </c>
      <c r="BQ58" s="142">
        <v>3008582.3272073669</v>
      </c>
      <c r="BR58" s="142">
        <v>0</v>
      </c>
      <c r="BS58" s="142">
        <v>2833538.740807367</v>
      </c>
      <c r="BT58" s="142">
        <v>5208.7109206017776</v>
      </c>
      <c r="BU58" s="142">
        <v>5089.9439911275422</v>
      </c>
      <c r="BV58" s="148">
        <v>2.3333641722042952E-2</v>
      </c>
      <c r="BW58" s="148">
        <v>0</v>
      </c>
      <c r="BX58" s="142">
        <v>0</v>
      </c>
      <c r="BY58" s="219">
        <v>3008582.3272073669</v>
      </c>
      <c r="BZ58" s="142">
        <v>696.32</v>
      </c>
      <c r="CA58" s="142">
        <v>5994.88</v>
      </c>
      <c r="CB58" s="188">
        <v>3001891.1272073667</v>
      </c>
      <c r="CC58" s="2"/>
      <c r="CD58" s="212">
        <f>IFERROR(VLOOKUP(B58,#REF!,29,0),0)</f>
        <v>0</v>
      </c>
      <c r="CE58" s="193">
        <f>IFERROR(VLOOKUP(B58,#REF!,28,0),0)</f>
        <v>0</v>
      </c>
      <c r="CF58" s="142"/>
      <c r="CG58" s="194"/>
      <c r="CH58" s="229">
        <v>0</v>
      </c>
      <c r="CI58" s="229">
        <v>0</v>
      </c>
      <c r="CJ58" s="226">
        <v>181732</v>
      </c>
      <c r="CL58" s="401">
        <v>112480</v>
      </c>
      <c r="CM58" s="402" t="s">
        <v>266</v>
      </c>
      <c r="CN58" s="402" t="s">
        <v>266</v>
      </c>
      <c r="CO58" s="402">
        <v>8671</v>
      </c>
      <c r="CP58" s="402">
        <v>33601.5</v>
      </c>
      <c r="CQ58" s="402">
        <v>97444.35</v>
      </c>
      <c r="CR58" s="402">
        <v>75735.900000000009</v>
      </c>
      <c r="CS58" s="402">
        <v>10721.2</v>
      </c>
      <c r="CT58" s="206"/>
      <c r="CU58" s="195"/>
      <c r="CV58" s="2"/>
    </row>
    <row r="59" spans="1:100" ht="14" x14ac:dyDescent="0.25">
      <c r="A59" s="32">
        <v>3125409</v>
      </c>
      <c r="B59" s="184">
        <v>5409</v>
      </c>
      <c r="C59" s="179" t="s">
        <v>30</v>
      </c>
      <c r="D59" s="124">
        <v>1069</v>
      </c>
      <c r="E59" s="124">
        <v>0</v>
      </c>
      <c r="F59" s="124">
        <v>1069</v>
      </c>
      <c r="G59" s="124">
        <v>671</v>
      </c>
      <c r="H59" s="124">
        <v>398</v>
      </c>
      <c r="I59" s="124">
        <f t="shared" si="22"/>
        <v>0</v>
      </c>
      <c r="J59" s="124">
        <f t="shared" si="23"/>
        <v>375.00000000000023</v>
      </c>
      <c r="K59" s="124">
        <f t="shared" si="24"/>
        <v>0</v>
      </c>
      <c r="L59" s="124">
        <f t="shared" si="25"/>
        <v>417.00000000000023</v>
      </c>
      <c r="M59" s="124">
        <f t="shared" si="26"/>
        <v>0</v>
      </c>
      <c r="N59" s="124">
        <f t="shared" si="27"/>
        <v>0</v>
      </c>
      <c r="O59" s="124">
        <f t="shared" si="28"/>
        <v>0</v>
      </c>
      <c r="P59" s="124">
        <f t="shared" si="29"/>
        <v>0</v>
      </c>
      <c r="Q59" s="124">
        <f t="shared" si="30"/>
        <v>0</v>
      </c>
      <c r="R59" s="124">
        <f t="shared" si="31"/>
        <v>0</v>
      </c>
      <c r="S59" s="124">
        <f t="shared" si="32"/>
        <v>272.99999999999994</v>
      </c>
      <c r="T59" s="124">
        <f t="shared" si="33"/>
        <v>303.00000000000006</v>
      </c>
      <c r="U59" s="124">
        <f t="shared" si="34"/>
        <v>23.000000000000004</v>
      </c>
      <c r="V59" s="124">
        <f t="shared" si="35"/>
        <v>26.000000000000021</v>
      </c>
      <c r="W59" s="124">
        <f t="shared" si="36"/>
        <v>9.9999999999999964</v>
      </c>
      <c r="X59" s="124">
        <f t="shared" si="37"/>
        <v>0</v>
      </c>
      <c r="Y59" s="124">
        <f t="shared" si="38"/>
        <v>0</v>
      </c>
      <c r="Z59" s="124">
        <f t="shared" si="39"/>
        <v>103.00024648589513</v>
      </c>
      <c r="AA59" s="124">
        <f t="shared" si="40"/>
        <v>0</v>
      </c>
      <c r="AB59" s="124">
        <f t="shared" si="41"/>
        <v>268.55545795920875</v>
      </c>
      <c r="AC59" s="124">
        <f t="shared" si="42"/>
        <v>0</v>
      </c>
      <c r="AD59" s="124">
        <f t="shared" si="43"/>
        <v>16.691758034026424</v>
      </c>
      <c r="AE59" s="127">
        <v>0</v>
      </c>
      <c r="AF59" s="63">
        <v>3922666</v>
      </c>
      <c r="AG59" s="130">
        <v>2622820</v>
      </c>
      <c r="AH59" s="130">
        <v>0</v>
      </c>
      <c r="AI59" s="130">
        <v>204255.00000000012</v>
      </c>
      <c r="AJ59" s="130">
        <v>0</v>
      </c>
      <c r="AK59" s="130">
        <v>713511.93660000036</v>
      </c>
      <c r="AL59" s="130">
        <v>0</v>
      </c>
      <c r="AM59" s="130">
        <v>0</v>
      </c>
      <c r="AN59" s="134">
        <v>0</v>
      </c>
      <c r="AO59" s="64">
        <v>0</v>
      </c>
      <c r="AP59" s="64">
        <v>0</v>
      </c>
      <c r="AQ59" s="64">
        <v>0</v>
      </c>
      <c r="AR59" s="64">
        <v>102135.41519999999</v>
      </c>
      <c r="AS59" s="64">
        <v>150034.08600000001</v>
      </c>
      <c r="AT59" s="64">
        <v>16070.757800000003</v>
      </c>
      <c r="AU59" s="64">
        <v>19883.505200000014</v>
      </c>
      <c r="AV59" s="64">
        <v>8197.6819999999971</v>
      </c>
      <c r="AW59" s="64">
        <v>0</v>
      </c>
      <c r="AX59" s="64">
        <v>0</v>
      </c>
      <c r="AY59" s="64">
        <v>180772.64259999996</v>
      </c>
      <c r="AZ59" s="64">
        <v>0</v>
      </c>
      <c r="BA59" s="64">
        <v>527480.51719600032</v>
      </c>
      <c r="BB59" s="64">
        <v>0</v>
      </c>
      <c r="BC59" s="142">
        <v>25438.239243856271</v>
      </c>
      <c r="BD59" s="142">
        <v>0</v>
      </c>
      <c r="BE59" s="142">
        <v>159662.24</v>
      </c>
      <c r="BF59" s="142"/>
      <c r="BG59" s="142">
        <v>73032.960000000006</v>
      </c>
      <c r="BH59" s="142"/>
      <c r="BI59" s="134">
        <v>0</v>
      </c>
      <c r="BJ59" s="64"/>
      <c r="BK59" s="64"/>
      <c r="BL59" s="142">
        <v>6545486</v>
      </c>
      <c r="BM59" s="142">
        <v>1947779.7818398569</v>
      </c>
      <c r="BN59" s="142">
        <v>232695.196</v>
      </c>
      <c r="BO59" s="142">
        <v>927519.07874333882</v>
      </c>
      <c r="BP59" s="142">
        <v>8725960.9778398573</v>
      </c>
      <c r="BQ59" s="142">
        <v>0</v>
      </c>
      <c r="BR59" s="142">
        <v>8725960.9778398555</v>
      </c>
      <c r="BS59" s="142">
        <v>8493265.7818398569</v>
      </c>
      <c r="BT59" s="142">
        <v>7945.0568585966857</v>
      </c>
      <c r="BU59" s="142">
        <v>7948.3158633895127</v>
      </c>
      <c r="BV59" s="148">
        <v>-4.100245698385238E-4</v>
      </c>
      <c r="BW59" s="148">
        <v>4.100245698385238E-4</v>
      </c>
      <c r="BX59" s="142">
        <v>3483.8761235320626</v>
      </c>
      <c r="BY59" s="219">
        <v>8729444.85396339</v>
      </c>
      <c r="BZ59" s="142">
        <v>1368.32</v>
      </c>
      <c r="CA59" s="142">
        <v>11780.38</v>
      </c>
      <c r="CB59" s="188">
        <v>8716296.1539633907</v>
      </c>
      <c r="CC59" s="2"/>
      <c r="CD59" s="212">
        <f>IFERROR(VLOOKUP(B59,#REF!,29,0),0)</f>
        <v>0</v>
      </c>
      <c r="CE59" s="193">
        <f>IFERROR(VLOOKUP(B59,#REF!,28,0),0)</f>
        <v>0</v>
      </c>
      <c r="CF59" s="142"/>
      <c r="CG59" s="194"/>
      <c r="CH59" s="229">
        <v>72000</v>
      </c>
      <c r="CI59" s="229">
        <v>0</v>
      </c>
      <c r="CJ59" s="226">
        <v>253600</v>
      </c>
      <c r="CL59" s="401">
        <v>433650</v>
      </c>
      <c r="CM59" s="402" t="s">
        <v>266</v>
      </c>
      <c r="CN59" s="402" t="s">
        <v>266</v>
      </c>
      <c r="CO59" s="402">
        <v>0</v>
      </c>
      <c r="CP59" s="402">
        <v>0</v>
      </c>
      <c r="CQ59" s="402">
        <v>0</v>
      </c>
      <c r="CR59" s="402">
        <v>0</v>
      </c>
      <c r="CS59" s="402">
        <v>25560.63</v>
      </c>
      <c r="CT59" s="206"/>
      <c r="CU59" s="195"/>
      <c r="CV59" s="2"/>
    </row>
    <row r="60" spans="1:100" ht="14" hidden="1" x14ac:dyDescent="0.25">
      <c r="A60" s="32">
        <v>3124021</v>
      </c>
      <c r="B60" s="184">
        <v>4021</v>
      </c>
      <c r="C60" s="179" t="s">
        <v>136</v>
      </c>
      <c r="D60" s="124">
        <v>787</v>
      </c>
      <c r="E60" s="124">
        <v>0</v>
      </c>
      <c r="F60" s="124">
        <v>787</v>
      </c>
      <c r="G60" s="124">
        <v>478</v>
      </c>
      <c r="H60" s="124">
        <v>309</v>
      </c>
      <c r="I60" s="124">
        <f t="shared" si="22"/>
        <v>0</v>
      </c>
      <c r="J60" s="124">
        <f t="shared" si="23"/>
        <v>311.99999999999966</v>
      </c>
      <c r="K60" s="124">
        <f t="shared" si="24"/>
        <v>0</v>
      </c>
      <c r="L60" s="124">
        <f t="shared" si="25"/>
        <v>385.00000000000011</v>
      </c>
      <c r="M60" s="124">
        <f t="shared" si="26"/>
        <v>0</v>
      </c>
      <c r="N60" s="124">
        <f t="shared" si="27"/>
        <v>0</v>
      </c>
      <c r="O60" s="124">
        <f t="shared" si="28"/>
        <v>0</v>
      </c>
      <c r="P60" s="124">
        <f t="shared" si="29"/>
        <v>0</v>
      </c>
      <c r="Q60" s="124">
        <f t="shared" si="30"/>
        <v>0</v>
      </c>
      <c r="R60" s="124">
        <f t="shared" si="31"/>
        <v>0</v>
      </c>
      <c r="S60" s="124">
        <f t="shared" si="32"/>
        <v>240.00000000000026</v>
      </c>
      <c r="T60" s="124">
        <f t="shared" si="33"/>
        <v>323.99999999999994</v>
      </c>
      <c r="U60" s="124">
        <f t="shared" si="34"/>
        <v>66.999999999999972</v>
      </c>
      <c r="V60" s="124">
        <f t="shared" si="35"/>
        <v>34.999999999999964</v>
      </c>
      <c r="W60" s="124">
        <f t="shared" si="36"/>
        <v>0</v>
      </c>
      <c r="X60" s="124">
        <f t="shared" si="37"/>
        <v>0</v>
      </c>
      <c r="Y60" s="124">
        <f t="shared" si="38"/>
        <v>0</v>
      </c>
      <c r="Z60" s="124">
        <f t="shared" si="39"/>
        <v>60.000143584016612</v>
      </c>
      <c r="AA60" s="124">
        <f t="shared" si="40"/>
        <v>0</v>
      </c>
      <c r="AB60" s="124">
        <f t="shared" si="41"/>
        <v>271.98396872340822</v>
      </c>
      <c r="AC60" s="124">
        <f t="shared" si="42"/>
        <v>0</v>
      </c>
      <c r="AD60" s="124">
        <f t="shared" si="43"/>
        <v>12.081404853129015</v>
      </c>
      <c r="AE60" s="127">
        <v>0</v>
      </c>
      <c r="AF60" s="63">
        <v>2794388</v>
      </c>
      <c r="AG60" s="130">
        <v>2036310</v>
      </c>
      <c r="AH60" s="130">
        <v>0</v>
      </c>
      <c r="AI60" s="130">
        <v>169940.1599999998</v>
      </c>
      <c r="AJ60" s="130">
        <v>0</v>
      </c>
      <c r="AK60" s="130">
        <v>658758.02300000016</v>
      </c>
      <c r="AL60" s="130">
        <v>0</v>
      </c>
      <c r="AM60" s="130">
        <v>0</v>
      </c>
      <c r="AN60" s="134">
        <v>0</v>
      </c>
      <c r="AO60" s="64">
        <v>0</v>
      </c>
      <c r="AP60" s="64">
        <v>0</v>
      </c>
      <c r="AQ60" s="64">
        <v>0</v>
      </c>
      <c r="AR60" s="64">
        <v>89789.376000000106</v>
      </c>
      <c r="AS60" s="64">
        <v>160432.48799999995</v>
      </c>
      <c r="AT60" s="64">
        <v>46814.816199999979</v>
      </c>
      <c r="AU60" s="64">
        <v>26766.256999999972</v>
      </c>
      <c r="AV60" s="64">
        <v>0</v>
      </c>
      <c r="AW60" s="64">
        <v>0</v>
      </c>
      <c r="AX60" s="64">
        <v>0</v>
      </c>
      <c r="AY60" s="64">
        <v>105304.45200000003</v>
      </c>
      <c r="AZ60" s="64">
        <v>0</v>
      </c>
      <c r="BA60" s="64">
        <v>534214.59232839511</v>
      </c>
      <c r="BB60" s="64">
        <v>0</v>
      </c>
      <c r="BC60" s="142">
        <v>18412.06099616862</v>
      </c>
      <c r="BD60" s="142">
        <v>0</v>
      </c>
      <c r="BE60" s="142">
        <v>159662.24</v>
      </c>
      <c r="BF60" s="142"/>
      <c r="BG60" s="142">
        <v>57522.400000000001</v>
      </c>
      <c r="BH60" s="142"/>
      <c r="BI60" s="134">
        <v>0</v>
      </c>
      <c r="BJ60" s="64"/>
      <c r="BK60" s="64"/>
      <c r="BL60" s="142">
        <v>4830698</v>
      </c>
      <c r="BM60" s="142">
        <v>1810432.2255245636</v>
      </c>
      <c r="BN60" s="142">
        <v>217184.636</v>
      </c>
      <c r="BO60" s="142">
        <v>883207.00517942535</v>
      </c>
      <c r="BP60" s="142">
        <v>6858314.8615245633</v>
      </c>
      <c r="BQ60" s="142">
        <v>0</v>
      </c>
      <c r="BR60" s="142">
        <v>6858314.8615245633</v>
      </c>
      <c r="BS60" s="142">
        <v>6641130.2255245633</v>
      </c>
      <c r="BT60" s="142">
        <v>8438.5390413272726</v>
      </c>
      <c r="BU60" s="142">
        <v>8235.8053618453869</v>
      </c>
      <c r="BV60" s="148">
        <v>2.4616132918961968E-2</v>
      </c>
      <c r="BW60" s="148">
        <v>0</v>
      </c>
      <c r="BX60" s="142">
        <v>0</v>
      </c>
      <c r="BY60" s="219">
        <v>6858314.8615245633</v>
      </c>
      <c r="BZ60" s="142">
        <v>0</v>
      </c>
      <c r="CA60" s="142">
        <v>0</v>
      </c>
      <c r="CB60" s="188">
        <v>6858314.8615245633</v>
      </c>
      <c r="CC60" s="2"/>
      <c r="CD60" s="212">
        <f>IFERROR(VLOOKUP(B60,#REF!,29,0),0)</f>
        <v>0</v>
      </c>
      <c r="CE60" s="193">
        <f>IFERROR(VLOOKUP(B60,#REF!,28,0),0)</f>
        <v>0</v>
      </c>
      <c r="CF60" s="142"/>
      <c r="CG60" s="194"/>
      <c r="CH60" s="229">
        <v>0</v>
      </c>
      <c r="CI60" s="229">
        <v>0</v>
      </c>
      <c r="CJ60" s="226">
        <v>314000</v>
      </c>
      <c r="CL60" s="401">
        <v>0</v>
      </c>
      <c r="CM60" s="402">
        <v>0</v>
      </c>
      <c r="CN60" s="402">
        <v>0</v>
      </c>
      <c r="CO60" s="402">
        <v>0</v>
      </c>
      <c r="CP60" s="402">
        <v>0</v>
      </c>
      <c r="CQ60" s="402">
        <v>0</v>
      </c>
      <c r="CR60" s="402">
        <v>0</v>
      </c>
      <c r="CS60" s="402">
        <v>0</v>
      </c>
      <c r="CT60" s="206"/>
      <c r="CU60" s="195"/>
      <c r="CV60" s="2"/>
    </row>
    <row r="61" spans="1:100" ht="14" hidden="1" x14ac:dyDescent="0.25">
      <c r="A61" s="32">
        <v>3124000</v>
      </c>
      <c r="B61" s="184">
        <v>4000</v>
      </c>
      <c r="C61" s="179" t="s">
        <v>138</v>
      </c>
      <c r="D61" s="124">
        <v>52</v>
      </c>
      <c r="E61" s="124">
        <v>0</v>
      </c>
      <c r="F61" s="124">
        <v>52</v>
      </c>
      <c r="G61" s="124">
        <v>16</v>
      </c>
      <c r="H61" s="124">
        <v>36</v>
      </c>
      <c r="I61" s="124">
        <f t="shared" si="22"/>
        <v>0</v>
      </c>
      <c r="J61" s="124">
        <f t="shared" si="23"/>
        <v>16.000000000000014</v>
      </c>
      <c r="K61" s="124">
        <f t="shared" si="24"/>
        <v>0</v>
      </c>
      <c r="L61" s="124">
        <f t="shared" si="25"/>
        <v>21.999999999999996</v>
      </c>
      <c r="M61" s="124">
        <f t="shared" si="26"/>
        <v>0</v>
      </c>
      <c r="N61" s="124">
        <f t="shared" si="27"/>
        <v>0</v>
      </c>
      <c r="O61" s="124">
        <f t="shared" si="28"/>
        <v>0</v>
      </c>
      <c r="P61" s="124">
        <f t="shared" si="29"/>
        <v>0</v>
      </c>
      <c r="Q61" s="124">
        <f t="shared" si="30"/>
        <v>0</v>
      </c>
      <c r="R61" s="124">
        <f t="shared" si="31"/>
        <v>0</v>
      </c>
      <c r="S61" s="124">
        <f t="shared" si="32"/>
        <v>17.000000000000004</v>
      </c>
      <c r="T61" s="124">
        <f t="shared" si="33"/>
        <v>13.999999999999988</v>
      </c>
      <c r="U61" s="124">
        <f t="shared" si="34"/>
        <v>0.99999999999999833</v>
      </c>
      <c r="V61" s="124">
        <f t="shared" si="35"/>
        <v>3.0000000000000004</v>
      </c>
      <c r="W61" s="124">
        <f t="shared" si="36"/>
        <v>0.99999999999999845</v>
      </c>
      <c r="X61" s="124">
        <f t="shared" si="37"/>
        <v>0</v>
      </c>
      <c r="Y61" s="124">
        <f t="shared" si="38"/>
        <v>0</v>
      </c>
      <c r="Z61" s="124">
        <f t="shared" si="39"/>
        <v>20.000047861338889</v>
      </c>
      <c r="AA61" s="124">
        <f t="shared" si="40"/>
        <v>0</v>
      </c>
      <c r="AB61" s="124">
        <f t="shared" si="41"/>
        <v>17.279536466666666</v>
      </c>
      <c r="AC61" s="124">
        <f t="shared" si="42"/>
        <v>0</v>
      </c>
      <c r="AD61" s="124">
        <f t="shared" si="43"/>
        <v>6.8799999999999848</v>
      </c>
      <c r="AE61" s="127">
        <v>0</v>
      </c>
      <c r="AF61" s="63">
        <v>93536</v>
      </c>
      <c r="AG61" s="130">
        <v>237240</v>
      </c>
      <c r="AH61" s="130">
        <v>0</v>
      </c>
      <c r="AI61" s="130">
        <v>8714.8800000000065</v>
      </c>
      <c r="AJ61" s="130">
        <v>0</v>
      </c>
      <c r="AK61" s="130">
        <v>37643.315599999994</v>
      </c>
      <c r="AL61" s="130">
        <v>0</v>
      </c>
      <c r="AM61" s="130">
        <v>0</v>
      </c>
      <c r="AN61" s="134">
        <v>0</v>
      </c>
      <c r="AO61" s="64">
        <v>0</v>
      </c>
      <c r="AP61" s="64">
        <v>0</v>
      </c>
      <c r="AQ61" s="64">
        <v>0</v>
      </c>
      <c r="AR61" s="64">
        <v>6360.0808000000015</v>
      </c>
      <c r="AS61" s="64">
        <v>6932.2679999999937</v>
      </c>
      <c r="AT61" s="64">
        <v>698.72859999999889</v>
      </c>
      <c r="AU61" s="64">
        <v>2294.2506000000003</v>
      </c>
      <c r="AV61" s="64">
        <v>819.76819999999873</v>
      </c>
      <c r="AW61" s="64">
        <v>0</v>
      </c>
      <c r="AX61" s="64">
        <v>0</v>
      </c>
      <c r="AY61" s="64">
        <v>35101.48400000004</v>
      </c>
      <c r="AZ61" s="64">
        <v>0</v>
      </c>
      <c r="BA61" s="64">
        <v>33939.42875563867</v>
      </c>
      <c r="BB61" s="64">
        <v>0</v>
      </c>
      <c r="BC61" s="142">
        <v>10485.119999999977</v>
      </c>
      <c r="BD61" s="142">
        <v>0</v>
      </c>
      <c r="BE61" s="142">
        <v>159662.24</v>
      </c>
      <c r="BF61" s="142"/>
      <c r="BG61" s="142">
        <v>0</v>
      </c>
      <c r="BH61" s="142"/>
      <c r="BI61" s="134">
        <v>0</v>
      </c>
      <c r="BJ61" s="64"/>
      <c r="BK61" s="64"/>
      <c r="BL61" s="142">
        <v>330776</v>
      </c>
      <c r="BM61" s="142">
        <v>142989.32455563868</v>
      </c>
      <c r="BN61" s="142">
        <v>159662.236</v>
      </c>
      <c r="BO61" s="142">
        <v>57840.609080067319</v>
      </c>
      <c r="BP61" s="142">
        <v>633427.56055563875</v>
      </c>
      <c r="BQ61" s="142">
        <v>0</v>
      </c>
      <c r="BR61" s="142">
        <v>633427.56055563863</v>
      </c>
      <c r="BS61" s="142">
        <v>473765.32455563871</v>
      </c>
      <c r="BT61" s="142">
        <v>9110.8716260699748</v>
      </c>
      <c r="BU61" s="142">
        <v>9086.9236127272743</v>
      </c>
      <c r="BV61" s="148">
        <v>2.6354368500642591E-3</v>
      </c>
      <c r="BW61" s="148">
        <v>0</v>
      </c>
      <c r="BX61" s="142">
        <v>0</v>
      </c>
      <c r="BY61" s="219">
        <v>633427.56055563875</v>
      </c>
      <c r="BZ61" s="142">
        <v>0</v>
      </c>
      <c r="CA61" s="142">
        <v>0</v>
      </c>
      <c r="CB61" s="188">
        <v>633427.56055563875</v>
      </c>
      <c r="CC61" s="2"/>
      <c r="CD61" s="212">
        <f>IFERROR(VLOOKUP(B61,#REF!,29,0),0)</f>
        <v>0</v>
      </c>
      <c r="CE61" s="193">
        <f>IFERROR(VLOOKUP(B61,#REF!,28,0),0)</f>
        <v>0</v>
      </c>
      <c r="CF61" s="142"/>
      <c r="CG61" s="194"/>
      <c r="CH61" s="229">
        <v>0</v>
      </c>
      <c r="CI61" s="229">
        <v>0</v>
      </c>
      <c r="CJ61" s="226">
        <v>0</v>
      </c>
      <c r="CL61" s="401">
        <v>0</v>
      </c>
      <c r="CM61" s="402">
        <v>0</v>
      </c>
      <c r="CN61" s="402">
        <v>0</v>
      </c>
      <c r="CO61" s="402">
        <v>0</v>
      </c>
      <c r="CP61" s="402">
        <v>0</v>
      </c>
      <c r="CQ61" s="402">
        <v>0</v>
      </c>
      <c r="CR61" s="402">
        <v>0</v>
      </c>
      <c r="CS61" s="402">
        <v>0</v>
      </c>
      <c r="CT61" s="206"/>
      <c r="CU61" s="195"/>
      <c r="CV61" s="2"/>
    </row>
    <row r="62" spans="1:100" ht="14" hidden="1" x14ac:dyDescent="0.25">
      <c r="A62" s="32">
        <v>3122040</v>
      </c>
      <c r="B62" s="184">
        <v>2040</v>
      </c>
      <c r="C62" s="179" t="s">
        <v>281</v>
      </c>
      <c r="D62" s="124">
        <v>555</v>
      </c>
      <c r="E62" s="124">
        <v>555</v>
      </c>
      <c r="F62" s="124">
        <v>0</v>
      </c>
      <c r="G62" s="124">
        <v>0</v>
      </c>
      <c r="H62" s="124">
        <v>0</v>
      </c>
      <c r="I62" s="124">
        <f t="shared" si="22"/>
        <v>173.00000000000017</v>
      </c>
      <c r="J62" s="124">
        <f t="shared" si="23"/>
        <v>0</v>
      </c>
      <c r="K62" s="124">
        <f t="shared" si="24"/>
        <v>174.00000000000026</v>
      </c>
      <c r="L62" s="124">
        <f t="shared" si="25"/>
        <v>0</v>
      </c>
      <c r="M62" s="124">
        <f t="shared" si="26"/>
        <v>269.00000000000017</v>
      </c>
      <c r="N62" s="124">
        <f t="shared" si="27"/>
        <v>49.000000000000007</v>
      </c>
      <c r="O62" s="124">
        <f t="shared" si="28"/>
        <v>4.0000000000000018</v>
      </c>
      <c r="P62" s="124">
        <f t="shared" si="29"/>
        <v>1.999999999999998</v>
      </c>
      <c r="Q62" s="124">
        <f t="shared" si="30"/>
        <v>0</v>
      </c>
      <c r="R62" s="124">
        <f t="shared" si="31"/>
        <v>0</v>
      </c>
      <c r="S62" s="124">
        <f t="shared" si="32"/>
        <v>0</v>
      </c>
      <c r="T62" s="124">
        <f t="shared" si="33"/>
        <v>0</v>
      </c>
      <c r="U62" s="124">
        <f t="shared" si="34"/>
        <v>0</v>
      </c>
      <c r="V62" s="124">
        <f t="shared" si="35"/>
        <v>0</v>
      </c>
      <c r="W62" s="124">
        <f t="shared" si="36"/>
        <v>0</v>
      </c>
      <c r="X62" s="124">
        <f t="shared" si="37"/>
        <v>0</v>
      </c>
      <c r="Y62" s="124">
        <f t="shared" si="38"/>
        <v>274.03125</v>
      </c>
      <c r="Z62" s="124">
        <f t="shared" si="39"/>
        <v>0</v>
      </c>
      <c r="AA62" s="124">
        <f t="shared" si="40"/>
        <v>204.20521201039364</v>
      </c>
      <c r="AB62" s="124">
        <f t="shared" si="41"/>
        <v>0</v>
      </c>
      <c r="AC62" s="124">
        <f t="shared" si="42"/>
        <v>39.700000000000259</v>
      </c>
      <c r="AD62" s="124">
        <f t="shared" si="43"/>
        <v>0</v>
      </c>
      <c r="AE62" s="127">
        <v>2371165.35</v>
      </c>
      <c r="AF62" s="63">
        <v>0</v>
      </c>
      <c r="AG62" s="130">
        <v>0</v>
      </c>
      <c r="AH62" s="130">
        <v>94229.640000000087</v>
      </c>
      <c r="AI62" s="130">
        <v>0</v>
      </c>
      <c r="AJ62" s="130">
        <v>202950.3984000003</v>
      </c>
      <c r="AK62" s="130">
        <v>0</v>
      </c>
      <c r="AL62" s="130">
        <v>69559.257400000046</v>
      </c>
      <c r="AM62" s="130">
        <v>15366.527400000003</v>
      </c>
      <c r="AN62" s="134">
        <v>1958.6408000000008</v>
      </c>
      <c r="AO62" s="64">
        <v>1078.3527999999988</v>
      </c>
      <c r="AP62" s="64">
        <v>0</v>
      </c>
      <c r="AQ62" s="64">
        <v>0</v>
      </c>
      <c r="AR62" s="64">
        <v>0</v>
      </c>
      <c r="AS62" s="64">
        <v>0</v>
      </c>
      <c r="AT62" s="64">
        <v>0</v>
      </c>
      <c r="AU62" s="64">
        <v>0</v>
      </c>
      <c r="AV62" s="64">
        <v>0</v>
      </c>
      <c r="AW62" s="64">
        <v>0</v>
      </c>
      <c r="AX62" s="64">
        <v>179410.99968750001</v>
      </c>
      <c r="AY62" s="64">
        <v>0</v>
      </c>
      <c r="AZ62" s="64">
        <v>264021.00271247816</v>
      </c>
      <c r="BA62" s="64">
        <v>0</v>
      </c>
      <c r="BB62" s="64">
        <v>42155.445000000269</v>
      </c>
      <c r="BC62" s="142">
        <v>0</v>
      </c>
      <c r="BD62" s="142">
        <v>0</v>
      </c>
      <c r="BE62" s="142">
        <v>159662.24</v>
      </c>
      <c r="BF62" s="142"/>
      <c r="BG62" s="142">
        <v>18478.72</v>
      </c>
      <c r="BH62" s="142"/>
      <c r="BI62" s="134">
        <v>0</v>
      </c>
      <c r="BJ62" s="64"/>
      <c r="BK62" s="64"/>
      <c r="BL62" s="142">
        <v>2371165.35</v>
      </c>
      <c r="BM62" s="142">
        <v>870730.2641999789</v>
      </c>
      <c r="BN62" s="142">
        <v>178140.95600000001</v>
      </c>
      <c r="BO62" s="142">
        <v>477948.1075417297</v>
      </c>
      <c r="BP62" s="142">
        <v>3420036.5701999795</v>
      </c>
      <c r="BQ62" s="142">
        <v>3420036.5701999795</v>
      </c>
      <c r="BR62" s="142">
        <v>0</v>
      </c>
      <c r="BS62" s="142">
        <v>3241895.6141999792</v>
      </c>
      <c r="BT62" s="142">
        <v>5841.2533589188815</v>
      </c>
      <c r="BU62" s="142">
        <v>5887.2342153976315</v>
      </c>
      <c r="BV62" s="148">
        <v>-7.8102645141058568E-3</v>
      </c>
      <c r="BW62" s="148">
        <v>7.8102645141058568E-3</v>
      </c>
      <c r="BX62" s="142">
        <v>25519.375345706227</v>
      </c>
      <c r="BY62" s="219">
        <v>3445555.9455456855</v>
      </c>
      <c r="BZ62" s="142">
        <v>0</v>
      </c>
      <c r="CA62" s="142">
        <v>0</v>
      </c>
      <c r="CB62" s="188">
        <v>3445555.9455456855</v>
      </c>
      <c r="CC62" s="2"/>
      <c r="CD62" s="212">
        <f>IFERROR(VLOOKUP(B62,#REF!,29,0),0)</f>
        <v>0</v>
      </c>
      <c r="CE62" s="193">
        <f>IFERROR(VLOOKUP(B62,#REF!,28,0),0)</f>
        <v>0</v>
      </c>
      <c r="CF62" s="142"/>
      <c r="CG62" s="194"/>
      <c r="CH62" s="229">
        <v>60000</v>
      </c>
      <c r="CI62" s="229">
        <v>0</v>
      </c>
      <c r="CJ62" s="226">
        <v>167543</v>
      </c>
      <c r="CL62" s="401">
        <v>0</v>
      </c>
      <c r="CM62" s="402">
        <v>0</v>
      </c>
      <c r="CN62" s="402">
        <v>0</v>
      </c>
      <c r="CO62" s="402">
        <v>0</v>
      </c>
      <c r="CP62" s="402">
        <v>24111</v>
      </c>
      <c r="CQ62" s="402">
        <v>69921.899999999994</v>
      </c>
      <c r="CR62" s="402">
        <v>0</v>
      </c>
      <c r="CS62" s="402">
        <v>0</v>
      </c>
      <c r="CT62" s="206"/>
      <c r="CU62" s="195"/>
      <c r="CV62" s="2"/>
    </row>
    <row r="63" spans="1:100" ht="14" hidden="1" x14ac:dyDescent="0.25">
      <c r="A63" s="32">
        <v>3125403</v>
      </c>
      <c r="B63" s="184">
        <v>5403</v>
      </c>
      <c r="C63" s="179" t="s">
        <v>140</v>
      </c>
      <c r="D63" s="124">
        <v>1202</v>
      </c>
      <c r="E63" s="124">
        <v>0</v>
      </c>
      <c r="F63" s="124">
        <v>1202</v>
      </c>
      <c r="G63" s="124">
        <v>721</v>
      </c>
      <c r="H63" s="124">
        <v>481</v>
      </c>
      <c r="I63" s="124">
        <f t="shared" si="22"/>
        <v>0</v>
      </c>
      <c r="J63" s="124">
        <f t="shared" si="23"/>
        <v>252.00000000000026</v>
      </c>
      <c r="K63" s="124">
        <f t="shared" si="24"/>
        <v>0</v>
      </c>
      <c r="L63" s="124">
        <f t="shared" si="25"/>
        <v>266.00000000000006</v>
      </c>
      <c r="M63" s="124">
        <f t="shared" si="26"/>
        <v>0</v>
      </c>
      <c r="N63" s="124">
        <f t="shared" si="27"/>
        <v>0</v>
      </c>
      <c r="O63" s="124">
        <f t="shared" si="28"/>
        <v>0</v>
      </c>
      <c r="P63" s="124">
        <f t="shared" si="29"/>
        <v>0</v>
      </c>
      <c r="Q63" s="124">
        <f t="shared" si="30"/>
        <v>0</v>
      </c>
      <c r="R63" s="124">
        <f t="shared" si="31"/>
        <v>0</v>
      </c>
      <c r="S63" s="124">
        <f t="shared" si="32"/>
        <v>330.00000000000023</v>
      </c>
      <c r="T63" s="124">
        <f t="shared" si="33"/>
        <v>18.999999999999972</v>
      </c>
      <c r="U63" s="124">
        <f t="shared" si="34"/>
        <v>12.999999999999998</v>
      </c>
      <c r="V63" s="124">
        <f t="shared" si="35"/>
        <v>57.999999999999964</v>
      </c>
      <c r="W63" s="124">
        <f t="shared" si="36"/>
        <v>1.0000000000000002</v>
      </c>
      <c r="X63" s="124">
        <f t="shared" si="37"/>
        <v>0</v>
      </c>
      <c r="Y63" s="124">
        <f t="shared" si="38"/>
        <v>0</v>
      </c>
      <c r="Z63" s="124">
        <f t="shared" si="39"/>
        <v>42.316949548693714</v>
      </c>
      <c r="AA63" s="124">
        <f t="shared" si="40"/>
        <v>0</v>
      </c>
      <c r="AB63" s="124">
        <f t="shared" si="41"/>
        <v>200.66833919321806</v>
      </c>
      <c r="AC63" s="124">
        <f t="shared" si="42"/>
        <v>0</v>
      </c>
      <c r="AD63" s="124">
        <f t="shared" si="43"/>
        <v>0</v>
      </c>
      <c r="AE63" s="127">
        <v>0</v>
      </c>
      <c r="AF63" s="63">
        <v>4214966</v>
      </c>
      <c r="AG63" s="130">
        <v>3169790</v>
      </c>
      <c r="AH63" s="130">
        <v>0</v>
      </c>
      <c r="AI63" s="130">
        <v>137259.36000000013</v>
      </c>
      <c r="AJ63" s="130">
        <v>0</v>
      </c>
      <c r="AK63" s="130">
        <v>455141.90680000011</v>
      </c>
      <c r="AL63" s="130">
        <v>0</v>
      </c>
      <c r="AM63" s="130">
        <v>0</v>
      </c>
      <c r="AN63" s="134">
        <v>0</v>
      </c>
      <c r="AO63" s="64">
        <v>0</v>
      </c>
      <c r="AP63" s="64">
        <v>0</v>
      </c>
      <c r="AQ63" s="64">
        <v>0</v>
      </c>
      <c r="AR63" s="64">
        <v>123460.39200000009</v>
      </c>
      <c r="AS63" s="64">
        <v>9408.077999999985</v>
      </c>
      <c r="AT63" s="64">
        <v>9083.4717999999993</v>
      </c>
      <c r="AU63" s="64">
        <v>44355.511599999969</v>
      </c>
      <c r="AV63" s="64">
        <v>819.76820000000021</v>
      </c>
      <c r="AW63" s="64">
        <v>0</v>
      </c>
      <c r="AX63" s="64">
        <v>0</v>
      </c>
      <c r="AY63" s="64">
        <v>74269.208644425875</v>
      </c>
      <c r="AZ63" s="64">
        <v>0</v>
      </c>
      <c r="BA63" s="64">
        <v>394140.71174296737</v>
      </c>
      <c r="BB63" s="64">
        <v>0</v>
      </c>
      <c r="BC63" s="142">
        <v>0</v>
      </c>
      <c r="BD63" s="142">
        <v>0</v>
      </c>
      <c r="BE63" s="142"/>
      <c r="BF63" s="142">
        <v>159662.24</v>
      </c>
      <c r="BG63" s="142">
        <v>43112.160000000003</v>
      </c>
      <c r="BH63" s="142"/>
      <c r="BI63" s="134">
        <v>0</v>
      </c>
      <c r="BJ63" s="64"/>
      <c r="BK63" s="64"/>
      <c r="BL63" s="142">
        <v>7384756</v>
      </c>
      <c r="BM63" s="142">
        <v>1247938.4087873935</v>
      </c>
      <c r="BN63" s="142">
        <v>202774.39600000001</v>
      </c>
      <c r="BO63" s="142">
        <v>710029.46394380357</v>
      </c>
      <c r="BP63" s="142">
        <v>8835468.8047873937</v>
      </c>
      <c r="BQ63" s="142">
        <v>0</v>
      </c>
      <c r="BR63" s="142">
        <v>8835468.8047873918</v>
      </c>
      <c r="BS63" s="142">
        <v>8632694.4087873939</v>
      </c>
      <c r="BT63" s="142">
        <v>7181.9421038164674</v>
      </c>
      <c r="BU63" s="142">
        <v>7129.2052882695507</v>
      </c>
      <c r="BV63" s="148">
        <v>7.397292322847011E-3</v>
      </c>
      <c r="BW63" s="148">
        <v>0</v>
      </c>
      <c r="BX63" s="142">
        <v>0</v>
      </c>
      <c r="BY63" s="219">
        <v>8835468.8047873937</v>
      </c>
      <c r="BZ63" s="142">
        <v>0</v>
      </c>
      <c r="CA63" s="142">
        <v>0</v>
      </c>
      <c r="CB63" s="188">
        <v>8835468.8047873937</v>
      </c>
      <c r="CC63" s="2"/>
      <c r="CD63" s="212">
        <f>IFERROR(VLOOKUP(B63,#REF!,29,0),0)</f>
        <v>0</v>
      </c>
      <c r="CE63" s="193">
        <f>IFERROR(VLOOKUP(B63,#REF!,28,0),0)</f>
        <v>0</v>
      </c>
      <c r="CF63" s="142"/>
      <c r="CG63" s="194"/>
      <c r="CH63" s="229">
        <v>0</v>
      </c>
      <c r="CI63" s="229">
        <v>0</v>
      </c>
      <c r="CJ63" s="226">
        <v>91900</v>
      </c>
      <c r="CL63" s="401">
        <v>0</v>
      </c>
      <c r="CM63" s="402">
        <v>0</v>
      </c>
      <c r="CN63" s="402">
        <v>0</v>
      </c>
      <c r="CO63" s="402">
        <v>0</v>
      </c>
      <c r="CP63" s="402">
        <v>0</v>
      </c>
      <c r="CQ63" s="402">
        <v>0</v>
      </c>
      <c r="CR63" s="402">
        <v>0</v>
      </c>
      <c r="CS63" s="402">
        <v>0</v>
      </c>
      <c r="CT63" s="206"/>
      <c r="CU63" s="195"/>
      <c r="CV63" s="2"/>
    </row>
    <row r="64" spans="1:100" ht="14" x14ac:dyDescent="0.25">
      <c r="A64" s="32">
        <v>3122064</v>
      </c>
      <c r="B64" s="184">
        <v>2064</v>
      </c>
      <c r="C64" s="179" t="s">
        <v>142</v>
      </c>
      <c r="D64" s="124">
        <v>599</v>
      </c>
      <c r="E64" s="124">
        <v>599</v>
      </c>
      <c r="F64" s="124">
        <v>0</v>
      </c>
      <c r="G64" s="124">
        <v>0</v>
      </c>
      <c r="H64" s="124">
        <v>0</v>
      </c>
      <c r="I64" s="124">
        <f t="shared" si="22"/>
        <v>200</v>
      </c>
      <c r="J64" s="124">
        <f t="shared" si="23"/>
        <v>0</v>
      </c>
      <c r="K64" s="124">
        <f t="shared" si="24"/>
        <v>203</v>
      </c>
      <c r="L64" s="124">
        <f t="shared" si="25"/>
        <v>0</v>
      </c>
      <c r="M64" s="124">
        <f t="shared" si="26"/>
        <v>194.00000000000003</v>
      </c>
      <c r="N64" s="124">
        <f t="shared" si="27"/>
        <v>226.99999999999991</v>
      </c>
      <c r="O64" s="124">
        <f t="shared" si="28"/>
        <v>81.999999999999758</v>
      </c>
      <c r="P64" s="124">
        <f t="shared" si="29"/>
        <v>58.000000000000007</v>
      </c>
      <c r="Q64" s="124">
        <f t="shared" si="30"/>
        <v>0</v>
      </c>
      <c r="R64" s="124">
        <f t="shared" si="31"/>
        <v>0</v>
      </c>
      <c r="S64" s="124">
        <f t="shared" si="32"/>
        <v>0</v>
      </c>
      <c r="T64" s="124">
        <f t="shared" si="33"/>
        <v>0</v>
      </c>
      <c r="U64" s="124">
        <f t="shared" si="34"/>
        <v>0</v>
      </c>
      <c r="V64" s="124">
        <f t="shared" si="35"/>
        <v>0</v>
      </c>
      <c r="W64" s="124">
        <f t="shared" si="36"/>
        <v>0</v>
      </c>
      <c r="X64" s="124">
        <f t="shared" si="37"/>
        <v>0</v>
      </c>
      <c r="Y64" s="124">
        <f t="shared" si="38"/>
        <v>195.75929549902176</v>
      </c>
      <c r="Z64" s="124">
        <f t="shared" si="39"/>
        <v>0</v>
      </c>
      <c r="AA64" s="124">
        <f t="shared" si="40"/>
        <v>258.61925741127845</v>
      </c>
      <c r="AB64" s="124">
        <f t="shared" si="41"/>
        <v>0</v>
      </c>
      <c r="AC64" s="124">
        <f t="shared" si="42"/>
        <v>30.059999999999803</v>
      </c>
      <c r="AD64" s="124">
        <f t="shared" si="43"/>
        <v>0</v>
      </c>
      <c r="AE64" s="127">
        <v>2559149.63</v>
      </c>
      <c r="AF64" s="63">
        <v>0</v>
      </c>
      <c r="AG64" s="130">
        <v>0</v>
      </c>
      <c r="AH64" s="130">
        <v>108935.99999999999</v>
      </c>
      <c r="AI64" s="130">
        <v>0</v>
      </c>
      <c r="AJ64" s="130">
        <v>236775.46479999999</v>
      </c>
      <c r="AK64" s="130">
        <v>0</v>
      </c>
      <c r="AL64" s="130">
        <v>50165.412400000008</v>
      </c>
      <c r="AM64" s="130">
        <v>71187.790199999974</v>
      </c>
      <c r="AN64" s="134">
        <v>40152.136399999879</v>
      </c>
      <c r="AO64" s="64">
        <v>31272.231200000002</v>
      </c>
      <c r="AP64" s="64">
        <v>0</v>
      </c>
      <c r="AQ64" s="64">
        <v>0</v>
      </c>
      <c r="AR64" s="64">
        <v>0</v>
      </c>
      <c r="AS64" s="64">
        <v>0</v>
      </c>
      <c r="AT64" s="64">
        <v>0</v>
      </c>
      <c r="AU64" s="64">
        <v>0</v>
      </c>
      <c r="AV64" s="64">
        <v>0</v>
      </c>
      <c r="AW64" s="64">
        <v>0</v>
      </c>
      <c r="AX64" s="64">
        <v>128165.56835616454</v>
      </c>
      <c r="AY64" s="64">
        <v>0</v>
      </c>
      <c r="AZ64" s="64">
        <v>334374.01029219013</v>
      </c>
      <c r="BA64" s="64">
        <v>0</v>
      </c>
      <c r="BB64" s="64">
        <v>31919.210999999788</v>
      </c>
      <c r="BC64" s="64">
        <v>0</v>
      </c>
      <c r="BD64" s="64">
        <v>0</v>
      </c>
      <c r="BE64" s="64">
        <v>159662.24</v>
      </c>
      <c r="BF64" s="64"/>
      <c r="BG64" s="64">
        <v>131125.696</v>
      </c>
      <c r="BH64" s="64"/>
      <c r="BI64" s="134">
        <v>0</v>
      </c>
      <c r="BJ64" s="64"/>
      <c r="BK64" s="64"/>
      <c r="BL64" s="142">
        <v>2559149.63</v>
      </c>
      <c r="BM64" s="64">
        <v>1032947.8246483543</v>
      </c>
      <c r="BN64" s="64">
        <v>290787.93200000003</v>
      </c>
      <c r="BO64" s="64">
        <v>611392.78281665861</v>
      </c>
      <c r="BP64" s="64">
        <v>3882885.3866483541</v>
      </c>
      <c r="BQ64" s="64">
        <v>3882885.3866483541</v>
      </c>
      <c r="BR64" s="64">
        <v>0</v>
      </c>
      <c r="BS64" s="64">
        <v>3592097.4546483541</v>
      </c>
      <c r="BT64" s="64">
        <v>5996.8237974096064</v>
      </c>
      <c r="BU64" s="64">
        <v>5861.9174756345174</v>
      </c>
      <c r="BV64" s="148">
        <v>2.301402609911124E-2</v>
      </c>
      <c r="BW64" s="148">
        <v>0</v>
      </c>
      <c r="BX64" s="64">
        <v>0</v>
      </c>
      <c r="BY64" s="219">
        <v>3882885.3866483541</v>
      </c>
      <c r="BZ64" s="64">
        <v>766.72</v>
      </c>
      <c r="CA64" s="64">
        <v>6600.98</v>
      </c>
      <c r="CB64" s="188">
        <v>3875517.6866483539</v>
      </c>
      <c r="CC64" s="2"/>
      <c r="CD64" s="212">
        <f>IFERROR(VLOOKUP(B64,#REF!,29,0),0)</f>
        <v>0</v>
      </c>
      <c r="CE64" s="193">
        <f>IFERROR(VLOOKUP(B64,#REF!,28,0),0)</f>
        <v>0</v>
      </c>
      <c r="CF64" s="142"/>
      <c r="CG64" s="194"/>
      <c r="CH64" s="229">
        <v>0</v>
      </c>
      <c r="CI64" s="229">
        <v>0</v>
      </c>
      <c r="CJ64" s="226">
        <v>301664</v>
      </c>
      <c r="CL64" s="401">
        <v>250860</v>
      </c>
      <c r="CM64" s="402" t="s">
        <v>266</v>
      </c>
      <c r="CN64" s="402">
        <v>10120</v>
      </c>
      <c r="CO64" s="402">
        <v>8754</v>
      </c>
      <c r="CP64" s="402">
        <v>30267</v>
      </c>
      <c r="CQ64" s="402">
        <v>87774.299999999988</v>
      </c>
      <c r="CR64" s="402">
        <v>84559.5</v>
      </c>
      <c r="CS64" s="402">
        <v>10915.38</v>
      </c>
      <c r="CT64" s="206"/>
      <c r="CU64" s="195"/>
      <c r="CV64" s="2"/>
    </row>
    <row r="65" spans="1:100" ht="14" hidden="1" x14ac:dyDescent="0.25">
      <c r="A65" s="32">
        <v>3125406</v>
      </c>
      <c r="B65" s="184">
        <v>5406</v>
      </c>
      <c r="C65" s="179" t="s">
        <v>143</v>
      </c>
      <c r="D65" s="124">
        <v>839</v>
      </c>
      <c r="E65" s="124">
        <v>0</v>
      </c>
      <c r="F65" s="124">
        <v>839</v>
      </c>
      <c r="G65" s="124">
        <v>524</v>
      </c>
      <c r="H65" s="124">
        <v>315</v>
      </c>
      <c r="I65" s="124">
        <f t="shared" si="22"/>
        <v>0</v>
      </c>
      <c r="J65" s="124">
        <f t="shared" si="23"/>
        <v>178.99999999999969</v>
      </c>
      <c r="K65" s="124">
        <f t="shared" si="24"/>
        <v>0</v>
      </c>
      <c r="L65" s="124">
        <f t="shared" si="25"/>
        <v>282.99999999999994</v>
      </c>
      <c r="M65" s="124">
        <f t="shared" si="26"/>
        <v>0</v>
      </c>
      <c r="N65" s="124">
        <f t="shared" si="27"/>
        <v>0</v>
      </c>
      <c r="O65" s="124">
        <f t="shared" si="28"/>
        <v>0</v>
      </c>
      <c r="P65" s="124">
        <f t="shared" si="29"/>
        <v>0</v>
      </c>
      <c r="Q65" s="124">
        <f t="shared" si="30"/>
        <v>0</v>
      </c>
      <c r="R65" s="124">
        <f t="shared" si="31"/>
        <v>0</v>
      </c>
      <c r="S65" s="124">
        <f t="shared" si="32"/>
        <v>261.99999999999972</v>
      </c>
      <c r="T65" s="124">
        <f t="shared" si="33"/>
        <v>321.99999999999955</v>
      </c>
      <c r="U65" s="124">
        <f t="shared" si="34"/>
        <v>8.0000000000000036</v>
      </c>
      <c r="V65" s="124">
        <f t="shared" si="35"/>
        <v>0</v>
      </c>
      <c r="W65" s="124">
        <f t="shared" si="36"/>
        <v>3.0000000000000022</v>
      </c>
      <c r="X65" s="124">
        <f t="shared" si="37"/>
        <v>0</v>
      </c>
      <c r="Y65" s="124">
        <f t="shared" si="38"/>
        <v>0</v>
      </c>
      <c r="Z65" s="124">
        <f t="shared" si="39"/>
        <v>70.251364288064053</v>
      </c>
      <c r="AA65" s="124">
        <f t="shared" si="40"/>
        <v>0</v>
      </c>
      <c r="AB65" s="124">
        <f t="shared" si="41"/>
        <v>173.35563605670188</v>
      </c>
      <c r="AC65" s="124">
        <f t="shared" si="42"/>
        <v>0</v>
      </c>
      <c r="AD65" s="124">
        <f t="shared" si="43"/>
        <v>2.0144057623021037E-2</v>
      </c>
      <c r="AE65" s="127">
        <v>0</v>
      </c>
      <c r="AF65" s="63">
        <v>3063304</v>
      </c>
      <c r="AG65" s="130">
        <v>2075850</v>
      </c>
      <c r="AH65" s="130">
        <v>0</v>
      </c>
      <c r="AI65" s="130">
        <v>97497.719999999827</v>
      </c>
      <c r="AJ65" s="130">
        <v>0</v>
      </c>
      <c r="AK65" s="130">
        <v>484229.92339999991</v>
      </c>
      <c r="AL65" s="130">
        <v>0</v>
      </c>
      <c r="AM65" s="130">
        <v>0</v>
      </c>
      <c r="AN65" s="134">
        <v>0</v>
      </c>
      <c r="AO65" s="64">
        <v>0</v>
      </c>
      <c r="AP65" s="64">
        <v>0</v>
      </c>
      <c r="AQ65" s="64">
        <v>0</v>
      </c>
      <c r="AR65" s="64">
        <v>98020.068799999906</v>
      </c>
      <c r="AS65" s="64">
        <v>159442.16399999976</v>
      </c>
      <c r="AT65" s="64">
        <v>5589.828800000003</v>
      </c>
      <c r="AU65" s="64">
        <v>0</v>
      </c>
      <c r="AV65" s="64">
        <v>2459.3046000000018</v>
      </c>
      <c r="AW65" s="64">
        <v>0</v>
      </c>
      <c r="AX65" s="64">
        <v>0</v>
      </c>
      <c r="AY65" s="64">
        <v>123296.06192105258</v>
      </c>
      <c r="AZ65" s="64">
        <v>0</v>
      </c>
      <c r="BA65" s="64">
        <v>340494.73900441045</v>
      </c>
      <c r="BB65" s="64">
        <v>0</v>
      </c>
      <c r="BC65" s="64">
        <v>30.699543817484059</v>
      </c>
      <c r="BD65" s="64">
        <v>0</v>
      </c>
      <c r="BE65" s="64"/>
      <c r="BF65" s="64">
        <v>159662.24</v>
      </c>
      <c r="BG65" s="64">
        <v>40250.080000000002</v>
      </c>
      <c r="BH65" s="64"/>
      <c r="BI65" s="134">
        <v>0</v>
      </c>
      <c r="BJ65" s="64"/>
      <c r="BK65" s="64"/>
      <c r="BL65" s="142">
        <v>5139154</v>
      </c>
      <c r="BM65" s="64">
        <v>1311060.5100692799</v>
      </c>
      <c r="BN65" s="64">
        <v>199912.31599999999</v>
      </c>
      <c r="BO65" s="64">
        <v>651472.51976514491</v>
      </c>
      <c r="BP65" s="64">
        <v>6650126.8260692796</v>
      </c>
      <c r="BQ65" s="64">
        <v>0</v>
      </c>
      <c r="BR65" s="64">
        <v>6650126.8260692805</v>
      </c>
      <c r="BS65" s="64">
        <v>6450214.5100692799</v>
      </c>
      <c r="BT65" s="64">
        <v>7687.9791538370437</v>
      </c>
      <c r="BU65" s="64">
        <v>7712.9318218826402</v>
      </c>
      <c r="BV65" s="148">
        <v>-3.2351729046537644E-3</v>
      </c>
      <c r="BW65" s="148">
        <v>3.2351729046537644E-3</v>
      </c>
      <c r="BX65" s="64">
        <v>20935.288490255472</v>
      </c>
      <c r="BY65" s="219">
        <v>6671062.1145595349</v>
      </c>
      <c r="BZ65" s="64">
        <v>0</v>
      </c>
      <c r="CA65" s="64">
        <v>0</v>
      </c>
      <c r="CB65" s="188">
        <v>6671062.1145595349</v>
      </c>
      <c r="CC65" s="2"/>
      <c r="CD65" s="212">
        <f>IFERROR(VLOOKUP(B65,#REF!,29,0),0)</f>
        <v>0</v>
      </c>
      <c r="CE65" s="193">
        <f>IFERROR(VLOOKUP(B65,#REF!,28,0),0)</f>
        <v>0</v>
      </c>
      <c r="CF65" s="142">
        <v>47759.583333333328</v>
      </c>
      <c r="CG65" s="194"/>
      <c r="CH65" s="229">
        <v>0</v>
      </c>
      <c r="CI65" s="229">
        <v>0</v>
      </c>
      <c r="CJ65" s="226">
        <v>178900</v>
      </c>
      <c r="CL65" s="401">
        <v>0</v>
      </c>
      <c r="CM65" s="402">
        <v>0</v>
      </c>
      <c r="CN65" s="402">
        <v>0</v>
      </c>
      <c r="CO65" s="402">
        <v>0</v>
      </c>
      <c r="CP65" s="402">
        <v>0</v>
      </c>
      <c r="CQ65" s="402">
        <v>0</v>
      </c>
      <c r="CR65" s="402">
        <v>0</v>
      </c>
      <c r="CS65" s="402">
        <v>0</v>
      </c>
      <c r="CT65" s="206"/>
      <c r="CU65" s="195"/>
      <c r="CV65" s="2"/>
    </row>
    <row r="66" spans="1:100" ht="14" hidden="1" x14ac:dyDescent="0.25">
      <c r="A66" s="32">
        <v>3122045</v>
      </c>
      <c r="B66" s="184">
        <v>2045</v>
      </c>
      <c r="C66" s="179" t="s">
        <v>145</v>
      </c>
      <c r="D66" s="124">
        <v>375</v>
      </c>
      <c r="E66" s="124">
        <v>375</v>
      </c>
      <c r="F66" s="124">
        <v>0</v>
      </c>
      <c r="G66" s="124">
        <v>0</v>
      </c>
      <c r="H66" s="124">
        <v>0</v>
      </c>
      <c r="I66" s="124">
        <f t="shared" si="22"/>
        <v>69</v>
      </c>
      <c r="J66" s="124">
        <f t="shared" si="23"/>
        <v>0</v>
      </c>
      <c r="K66" s="124">
        <f t="shared" si="24"/>
        <v>73.999999999999872</v>
      </c>
      <c r="L66" s="124">
        <f t="shared" si="25"/>
        <v>0</v>
      </c>
      <c r="M66" s="124">
        <f t="shared" si="26"/>
        <v>135</v>
      </c>
      <c r="N66" s="124">
        <f t="shared" si="27"/>
        <v>151.00000000000011</v>
      </c>
      <c r="O66" s="124">
        <f t="shared" si="28"/>
        <v>6</v>
      </c>
      <c r="P66" s="124">
        <f t="shared" si="29"/>
        <v>0</v>
      </c>
      <c r="Q66" s="124">
        <f t="shared" si="30"/>
        <v>1.0000000000000013</v>
      </c>
      <c r="R66" s="124">
        <f t="shared" si="31"/>
        <v>0</v>
      </c>
      <c r="S66" s="124">
        <f t="shared" si="32"/>
        <v>0</v>
      </c>
      <c r="T66" s="124">
        <f t="shared" si="33"/>
        <v>0</v>
      </c>
      <c r="U66" s="124">
        <f t="shared" si="34"/>
        <v>0</v>
      </c>
      <c r="V66" s="124">
        <f t="shared" si="35"/>
        <v>0</v>
      </c>
      <c r="W66" s="124">
        <f t="shared" si="36"/>
        <v>0</v>
      </c>
      <c r="X66" s="124">
        <f t="shared" si="37"/>
        <v>0</v>
      </c>
      <c r="Y66" s="124">
        <f t="shared" si="38"/>
        <v>155.48780487804862</v>
      </c>
      <c r="Z66" s="124">
        <f t="shared" si="39"/>
        <v>0</v>
      </c>
      <c r="AA66" s="124">
        <f t="shared" si="40"/>
        <v>96.169577983269704</v>
      </c>
      <c r="AB66" s="124">
        <f t="shared" si="41"/>
        <v>0</v>
      </c>
      <c r="AC66" s="124">
        <f t="shared" si="42"/>
        <v>3.4999999999999893</v>
      </c>
      <c r="AD66" s="124">
        <f t="shared" si="43"/>
        <v>0</v>
      </c>
      <c r="AE66" s="127">
        <v>1602138.75</v>
      </c>
      <c r="AF66" s="63">
        <v>0</v>
      </c>
      <c r="AG66" s="130">
        <v>0</v>
      </c>
      <c r="AH66" s="130">
        <v>37582.92</v>
      </c>
      <c r="AI66" s="130">
        <v>0</v>
      </c>
      <c r="AJ66" s="130">
        <v>86312.238399999842</v>
      </c>
      <c r="AK66" s="130">
        <v>0</v>
      </c>
      <c r="AL66" s="130">
        <v>34908.921000000002</v>
      </c>
      <c r="AM66" s="130">
        <v>47353.992600000034</v>
      </c>
      <c r="AN66" s="134">
        <v>2937.9611999999997</v>
      </c>
      <c r="AO66" s="64">
        <v>0</v>
      </c>
      <c r="AP66" s="64">
        <v>572.18720000000076</v>
      </c>
      <c r="AQ66" s="64">
        <v>0</v>
      </c>
      <c r="AR66" s="64">
        <v>0</v>
      </c>
      <c r="AS66" s="64">
        <v>0</v>
      </c>
      <c r="AT66" s="64">
        <v>0</v>
      </c>
      <c r="AU66" s="64">
        <v>0</v>
      </c>
      <c r="AV66" s="64">
        <v>0</v>
      </c>
      <c r="AW66" s="64">
        <v>0</v>
      </c>
      <c r="AX66" s="64">
        <v>101799.42073170721</v>
      </c>
      <c r="AY66" s="64">
        <v>0</v>
      </c>
      <c r="AZ66" s="64">
        <v>124339.57076612907</v>
      </c>
      <c r="BA66" s="64">
        <v>0</v>
      </c>
      <c r="BB66" s="64">
        <v>3716.4749999999885</v>
      </c>
      <c r="BC66" s="64">
        <v>0</v>
      </c>
      <c r="BD66" s="64">
        <v>0</v>
      </c>
      <c r="BE66" s="64">
        <v>159662.24</v>
      </c>
      <c r="BF66" s="64"/>
      <c r="BG66" s="64">
        <v>0</v>
      </c>
      <c r="BH66" s="64"/>
      <c r="BI66" s="134">
        <v>0</v>
      </c>
      <c r="BJ66" s="64"/>
      <c r="BK66" s="64"/>
      <c r="BL66" s="142">
        <v>1602138.75</v>
      </c>
      <c r="BM66" s="64">
        <v>439523.68689783616</v>
      </c>
      <c r="BN66" s="64">
        <v>159662.236</v>
      </c>
      <c r="BO66" s="64">
        <v>258571.04493216125</v>
      </c>
      <c r="BP66" s="64">
        <v>2201324.6728978362</v>
      </c>
      <c r="BQ66" s="64">
        <v>2201324.6728978362</v>
      </c>
      <c r="BR66" s="64">
        <v>0</v>
      </c>
      <c r="BS66" s="64">
        <v>2041662.4368978362</v>
      </c>
      <c r="BT66" s="64">
        <v>5444.4331650608965</v>
      </c>
      <c r="BU66" s="64">
        <v>5422.4707606770826</v>
      </c>
      <c r="BV66" s="148">
        <v>4.0502577797342622E-3</v>
      </c>
      <c r="BW66" s="148">
        <v>0</v>
      </c>
      <c r="BX66" s="64">
        <v>0</v>
      </c>
      <c r="BY66" s="219">
        <v>2201324.6728978362</v>
      </c>
      <c r="BZ66" s="64">
        <v>0</v>
      </c>
      <c r="CA66" s="64">
        <v>0</v>
      </c>
      <c r="CB66" s="188">
        <v>2201324.6728978362</v>
      </c>
      <c r="CC66" s="2"/>
      <c r="CD66" s="212">
        <f>IFERROR(VLOOKUP(B66,#REF!,29,0),0)</f>
        <v>0</v>
      </c>
      <c r="CE66" s="193">
        <f>IFERROR(VLOOKUP(B66,#REF!,28,0),0)</f>
        <v>0</v>
      </c>
      <c r="CF66" s="142"/>
      <c r="CG66" s="194"/>
      <c r="CH66" s="229">
        <v>0</v>
      </c>
      <c r="CI66" s="229">
        <v>0</v>
      </c>
      <c r="CJ66" s="226">
        <v>69378</v>
      </c>
      <c r="CL66" s="401">
        <v>0</v>
      </c>
      <c r="CM66" s="402">
        <v>0</v>
      </c>
      <c r="CN66" s="402">
        <v>0</v>
      </c>
      <c r="CO66" s="402">
        <v>0</v>
      </c>
      <c r="CP66" s="402">
        <v>21289.5</v>
      </c>
      <c r="CQ66" s="402">
        <v>61739.549999999996</v>
      </c>
      <c r="CR66" s="402">
        <v>0</v>
      </c>
      <c r="CS66" s="402">
        <v>0</v>
      </c>
      <c r="CT66" s="206"/>
      <c r="CU66" s="195"/>
      <c r="CV66" s="2"/>
    </row>
    <row r="67" spans="1:100" ht="14" x14ac:dyDescent="0.25">
      <c r="A67" s="32">
        <v>3122080</v>
      </c>
      <c r="B67" s="184">
        <v>2080</v>
      </c>
      <c r="C67" s="179" t="s">
        <v>147</v>
      </c>
      <c r="D67" s="124">
        <v>247</v>
      </c>
      <c r="E67" s="124">
        <v>247</v>
      </c>
      <c r="F67" s="124">
        <v>0</v>
      </c>
      <c r="G67" s="124">
        <v>0</v>
      </c>
      <c r="H67" s="124">
        <v>0</v>
      </c>
      <c r="I67" s="124">
        <f t="shared" si="22"/>
        <v>55.000000000000021</v>
      </c>
      <c r="J67" s="124">
        <f t="shared" si="23"/>
        <v>0</v>
      </c>
      <c r="K67" s="124">
        <f t="shared" si="24"/>
        <v>55.999999999999915</v>
      </c>
      <c r="L67" s="124">
        <f t="shared" si="25"/>
        <v>0</v>
      </c>
      <c r="M67" s="124">
        <f t="shared" si="26"/>
        <v>21.000000000000011</v>
      </c>
      <c r="N67" s="124">
        <f t="shared" si="27"/>
        <v>5.9999999999999991</v>
      </c>
      <c r="O67" s="124">
        <f t="shared" si="28"/>
        <v>1.0000000000000007</v>
      </c>
      <c r="P67" s="124">
        <f t="shared" si="29"/>
        <v>1.0000000000000007</v>
      </c>
      <c r="Q67" s="124">
        <f t="shared" si="30"/>
        <v>1.0000000000000007</v>
      </c>
      <c r="R67" s="124">
        <f t="shared" si="31"/>
        <v>0</v>
      </c>
      <c r="S67" s="124">
        <f t="shared" si="32"/>
        <v>0</v>
      </c>
      <c r="T67" s="124">
        <f t="shared" si="33"/>
        <v>0</v>
      </c>
      <c r="U67" s="124">
        <f t="shared" si="34"/>
        <v>0</v>
      </c>
      <c r="V67" s="124">
        <f t="shared" si="35"/>
        <v>0</v>
      </c>
      <c r="W67" s="124">
        <f t="shared" si="36"/>
        <v>0</v>
      </c>
      <c r="X67" s="124">
        <f t="shared" si="37"/>
        <v>0</v>
      </c>
      <c r="Y67" s="124">
        <f t="shared" si="38"/>
        <v>58.917431192660523</v>
      </c>
      <c r="Z67" s="124">
        <f t="shared" si="39"/>
        <v>0</v>
      </c>
      <c r="AA67" s="124">
        <f t="shared" si="40"/>
        <v>85.212643669411108</v>
      </c>
      <c r="AB67" s="124">
        <f t="shared" si="41"/>
        <v>0</v>
      </c>
      <c r="AC67" s="124">
        <f t="shared" si="42"/>
        <v>3.1799999999999988</v>
      </c>
      <c r="AD67" s="124">
        <f t="shared" si="43"/>
        <v>0</v>
      </c>
      <c r="AE67" s="127">
        <v>1055275.3899999999</v>
      </c>
      <c r="AF67" s="63">
        <v>0</v>
      </c>
      <c r="AG67" s="130">
        <v>0</v>
      </c>
      <c r="AH67" s="130">
        <v>29957.400000000009</v>
      </c>
      <c r="AI67" s="130">
        <v>0</v>
      </c>
      <c r="AJ67" s="130">
        <v>65317.369599999896</v>
      </c>
      <c r="AK67" s="130">
        <v>0</v>
      </c>
      <c r="AL67" s="130">
        <v>5430.2766000000029</v>
      </c>
      <c r="AM67" s="130">
        <v>1881.6155999999996</v>
      </c>
      <c r="AN67" s="134">
        <v>489.66020000000032</v>
      </c>
      <c r="AO67" s="64">
        <v>539.17640000000029</v>
      </c>
      <c r="AP67" s="64">
        <v>572.1872000000003</v>
      </c>
      <c r="AQ67" s="64">
        <v>0</v>
      </c>
      <c r="AR67" s="64">
        <v>0</v>
      </c>
      <c r="AS67" s="64">
        <v>0</v>
      </c>
      <c r="AT67" s="64">
        <v>0</v>
      </c>
      <c r="AU67" s="64">
        <v>0</v>
      </c>
      <c r="AV67" s="64">
        <v>0</v>
      </c>
      <c r="AW67" s="64">
        <v>0</v>
      </c>
      <c r="AX67" s="64">
        <v>38573.831376146773</v>
      </c>
      <c r="AY67" s="64">
        <v>0</v>
      </c>
      <c r="AZ67" s="64">
        <v>110173.13125305502</v>
      </c>
      <c r="BA67" s="64">
        <v>0</v>
      </c>
      <c r="BB67" s="64">
        <v>3376.6829999999986</v>
      </c>
      <c r="BC67" s="64">
        <v>0</v>
      </c>
      <c r="BD67" s="64">
        <v>0</v>
      </c>
      <c r="BE67" s="64">
        <v>159662.24</v>
      </c>
      <c r="BF67" s="64"/>
      <c r="BG67" s="64">
        <v>46198.879999999997</v>
      </c>
      <c r="BH67" s="64"/>
      <c r="BI67" s="134">
        <v>0</v>
      </c>
      <c r="BJ67" s="64"/>
      <c r="BK67" s="64"/>
      <c r="BL67" s="142">
        <v>1055275.3899999999</v>
      </c>
      <c r="BM67" s="64">
        <v>256311.33122920166</v>
      </c>
      <c r="BN67" s="64">
        <v>205861.11600000001</v>
      </c>
      <c r="BO67" s="64">
        <v>181471.59160987166</v>
      </c>
      <c r="BP67" s="64">
        <v>1517447.8372292016</v>
      </c>
      <c r="BQ67" s="64">
        <v>1517447.8372292013</v>
      </c>
      <c r="BR67" s="64">
        <v>0</v>
      </c>
      <c r="BS67" s="64">
        <v>1311586.7212292016</v>
      </c>
      <c r="BT67" s="64">
        <v>5310.0676972842175</v>
      </c>
      <c r="BU67" s="64">
        <v>5241.2318665289258</v>
      </c>
      <c r="BV67" s="148">
        <v>1.3133521375935446E-2</v>
      </c>
      <c r="BW67" s="148">
        <v>0</v>
      </c>
      <c r="BX67" s="64">
        <v>0</v>
      </c>
      <c r="BY67" s="219">
        <v>1517447.8372292016</v>
      </c>
      <c r="BZ67" s="64">
        <v>316.16000000000003</v>
      </c>
      <c r="CA67" s="64">
        <v>2721.94</v>
      </c>
      <c r="CB67" s="188">
        <v>1514409.7372292015</v>
      </c>
      <c r="CC67" s="2"/>
      <c r="CD67" s="212">
        <f>IFERROR(VLOOKUP(B67,#REF!,29,0),0)</f>
        <v>0</v>
      </c>
      <c r="CE67" s="193">
        <f>IFERROR(VLOOKUP(B67,#REF!,28,0),0)</f>
        <v>0</v>
      </c>
      <c r="CF67" s="142"/>
      <c r="CG67" s="194"/>
      <c r="CH67" s="229">
        <f>96000</f>
        <v>96000</v>
      </c>
      <c r="CI67" s="229">
        <f>96000</f>
        <v>96000</v>
      </c>
      <c r="CJ67" s="226">
        <v>109400</v>
      </c>
      <c r="CL67" s="401">
        <v>85840</v>
      </c>
      <c r="CM67" s="402">
        <v>12395</v>
      </c>
      <c r="CN67" s="402">
        <v>5060</v>
      </c>
      <c r="CO67" s="402">
        <v>7642</v>
      </c>
      <c r="CP67" s="402">
        <v>14877</v>
      </c>
      <c r="CQ67" s="402">
        <v>43143.3</v>
      </c>
      <c r="CR67" s="402">
        <v>33333.599999999999</v>
      </c>
      <c r="CS67" s="402">
        <v>7190.5</v>
      </c>
      <c r="CT67" s="206"/>
      <c r="CU67" s="195"/>
      <c r="CV67" s="2"/>
    </row>
    <row r="68" spans="1:100" ht="14" hidden="1" x14ac:dyDescent="0.25">
      <c r="A68" s="32">
        <v>3124023</v>
      </c>
      <c r="B68" s="184">
        <v>4023</v>
      </c>
      <c r="C68" s="179" t="s">
        <v>149</v>
      </c>
      <c r="D68" s="124">
        <v>1048</v>
      </c>
      <c r="E68" s="124">
        <v>0</v>
      </c>
      <c r="F68" s="124">
        <v>1048</v>
      </c>
      <c r="G68" s="124">
        <v>629</v>
      </c>
      <c r="H68" s="124">
        <v>419</v>
      </c>
      <c r="I68" s="124">
        <f t="shared" si="22"/>
        <v>0</v>
      </c>
      <c r="J68" s="124">
        <f t="shared" si="23"/>
        <v>180.00000000000034</v>
      </c>
      <c r="K68" s="124">
        <f t="shared" si="24"/>
        <v>0</v>
      </c>
      <c r="L68" s="124">
        <f t="shared" si="25"/>
        <v>214.9999999999998</v>
      </c>
      <c r="M68" s="124">
        <f t="shared" si="26"/>
        <v>0</v>
      </c>
      <c r="N68" s="124">
        <f t="shared" si="27"/>
        <v>0</v>
      </c>
      <c r="O68" s="124">
        <f t="shared" si="28"/>
        <v>0</v>
      </c>
      <c r="P68" s="124">
        <f t="shared" si="29"/>
        <v>0</v>
      </c>
      <c r="Q68" s="124">
        <f t="shared" si="30"/>
        <v>0</v>
      </c>
      <c r="R68" s="124">
        <f t="shared" si="31"/>
        <v>0</v>
      </c>
      <c r="S68" s="124">
        <f t="shared" si="32"/>
        <v>77.073543457497578</v>
      </c>
      <c r="T68" s="124">
        <f t="shared" si="33"/>
        <v>21.020057306590278</v>
      </c>
      <c r="U68" s="124">
        <f t="shared" si="34"/>
        <v>2.0019102196752674</v>
      </c>
      <c r="V68" s="124">
        <f t="shared" si="35"/>
        <v>1.0009551098376317</v>
      </c>
      <c r="W68" s="124">
        <f t="shared" si="36"/>
        <v>0</v>
      </c>
      <c r="X68" s="124">
        <f t="shared" si="37"/>
        <v>0</v>
      </c>
      <c r="Y68" s="124">
        <f t="shared" si="38"/>
        <v>0</v>
      </c>
      <c r="Z68" s="124">
        <f t="shared" si="39"/>
        <v>38.00009093654382</v>
      </c>
      <c r="AA68" s="124">
        <f t="shared" si="40"/>
        <v>0</v>
      </c>
      <c r="AB68" s="124">
        <f t="shared" si="41"/>
        <v>194.54181205710967</v>
      </c>
      <c r="AC68" s="124">
        <f t="shared" si="42"/>
        <v>0</v>
      </c>
      <c r="AD68" s="124">
        <f t="shared" si="43"/>
        <v>0</v>
      </c>
      <c r="AE68" s="127">
        <v>0</v>
      </c>
      <c r="AF68" s="63">
        <v>3677134</v>
      </c>
      <c r="AG68" s="130">
        <v>2761210</v>
      </c>
      <c r="AH68" s="130">
        <v>0</v>
      </c>
      <c r="AI68" s="130">
        <v>98042.400000000183</v>
      </c>
      <c r="AJ68" s="130">
        <v>0</v>
      </c>
      <c r="AK68" s="130">
        <v>367877.85699999967</v>
      </c>
      <c r="AL68" s="130">
        <v>0</v>
      </c>
      <c r="AM68" s="130">
        <v>0</v>
      </c>
      <c r="AN68" s="134">
        <v>0</v>
      </c>
      <c r="AO68" s="64">
        <v>0</v>
      </c>
      <c r="AP68" s="64">
        <v>0</v>
      </c>
      <c r="AQ68" s="64">
        <v>0</v>
      </c>
      <c r="AR68" s="64">
        <v>28834.939054823295</v>
      </c>
      <c r="AS68" s="64">
        <v>10408.333616045855</v>
      </c>
      <c r="AT68" s="64">
        <v>1398.7919251193921</v>
      </c>
      <c r="AU68" s="64">
        <v>765.48062043935079</v>
      </c>
      <c r="AV68" s="64">
        <v>0</v>
      </c>
      <c r="AW68" s="64">
        <v>0</v>
      </c>
      <c r="AX68" s="64">
        <v>0</v>
      </c>
      <c r="AY68" s="64">
        <v>66692.819599999959</v>
      </c>
      <c r="AZ68" s="64">
        <v>0</v>
      </c>
      <c r="BA68" s="64">
        <v>382107.35473385139</v>
      </c>
      <c r="BB68" s="64">
        <v>0</v>
      </c>
      <c r="BC68" s="64">
        <v>0</v>
      </c>
      <c r="BD68" s="64">
        <v>0</v>
      </c>
      <c r="BE68" s="64">
        <v>159662.24</v>
      </c>
      <c r="BF68" s="64"/>
      <c r="BG68" s="64">
        <v>24839.360000000001</v>
      </c>
      <c r="BH68" s="64"/>
      <c r="BI68" s="134">
        <v>0</v>
      </c>
      <c r="BJ68" s="64"/>
      <c r="BK68" s="64"/>
      <c r="BL68" s="142">
        <v>6438344</v>
      </c>
      <c r="BM68" s="64">
        <v>956127.97655027907</v>
      </c>
      <c r="BN68" s="64">
        <v>184501.59600000002</v>
      </c>
      <c r="BO68" s="64">
        <v>599300.501864005</v>
      </c>
      <c r="BP68" s="64">
        <v>7578973.5725502791</v>
      </c>
      <c r="BQ68" s="64">
        <v>0</v>
      </c>
      <c r="BR68" s="64">
        <v>7578973.57255028</v>
      </c>
      <c r="BS68" s="64">
        <v>7394471.9765502792</v>
      </c>
      <c r="BT68" s="64">
        <v>7055.7938707540834</v>
      </c>
      <c r="BU68" s="64">
        <v>6972.1755641904765</v>
      </c>
      <c r="BV68" s="148">
        <v>1.1993144147585105E-2</v>
      </c>
      <c r="BW68" s="148">
        <v>0</v>
      </c>
      <c r="BX68" s="64">
        <v>0</v>
      </c>
      <c r="BY68" s="219">
        <v>7578973.5725502791</v>
      </c>
      <c r="BZ68" s="64">
        <v>0</v>
      </c>
      <c r="CA68" s="64">
        <v>0</v>
      </c>
      <c r="CB68" s="188">
        <v>7578973.5725502791</v>
      </c>
      <c r="CC68" s="2"/>
      <c r="CD68" s="212">
        <f>IFERROR(VLOOKUP(B68,#REF!,29,0),0)</f>
        <v>0</v>
      </c>
      <c r="CE68" s="193">
        <f>IFERROR(VLOOKUP(B68,#REF!,28,0),0)</f>
        <v>0</v>
      </c>
      <c r="CF68" s="142"/>
      <c r="CG68" s="194"/>
      <c r="CH68" s="229">
        <v>0</v>
      </c>
      <c r="CI68" s="229">
        <v>0</v>
      </c>
      <c r="CJ68" s="226">
        <v>485887</v>
      </c>
      <c r="CL68" s="401">
        <v>0</v>
      </c>
      <c r="CM68" s="402">
        <v>0</v>
      </c>
      <c r="CN68" s="402">
        <v>0</v>
      </c>
      <c r="CO68" s="402">
        <v>0</v>
      </c>
      <c r="CP68" s="402">
        <v>0</v>
      </c>
      <c r="CQ68" s="402">
        <v>0</v>
      </c>
      <c r="CR68" s="402">
        <v>0</v>
      </c>
      <c r="CS68" s="402">
        <v>0</v>
      </c>
      <c r="CT68" s="206"/>
      <c r="CU68" s="195"/>
      <c r="CV68" s="2"/>
    </row>
    <row r="69" spans="1:100" ht="14" hidden="1" x14ac:dyDescent="0.25">
      <c r="A69" s="32">
        <v>3122048</v>
      </c>
      <c r="B69" s="184">
        <v>2048</v>
      </c>
      <c r="C69" s="179" t="s">
        <v>151</v>
      </c>
      <c r="D69" s="124">
        <v>375</v>
      </c>
      <c r="E69" s="124">
        <v>375</v>
      </c>
      <c r="F69" s="124">
        <v>0</v>
      </c>
      <c r="G69" s="124">
        <v>0</v>
      </c>
      <c r="H69" s="124">
        <v>0</v>
      </c>
      <c r="I69" s="124">
        <f t="shared" ref="I69:I93" si="44">IFERROR(AH69/AH$3,0)</f>
        <v>73.999999999999872</v>
      </c>
      <c r="J69" s="124">
        <f t="shared" ref="J69:J93" si="45">IFERROR(AI69/AI$3,0)</f>
        <v>0</v>
      </c>
      <c r="K69" s="124">
        <f t="shared" ref="K69:K93" si="46">IFERROR(AJ69/AJ$3,0)</f>
        <v>79.000000000000128</v>
      </c>
      <c r="L69" s="124">
        <f t="shared" ref="L69:L93" si="47">IFERROR(AK69/AK$3,0)</f>
        <v>0</v>
      </c>
      <c r="M69" s="124">
        <f t="shared" ref="M69:M93" si="48">IFERROR(AL69/AL$3,0)</f>
        <v>16.999999999999989</v>
      </c>
      <c r="N69" s="124">
        <f t="shared" ref="N69:N93" si="49">IFERROR(AM69/AM$3,0)</f>
        <v>25.999999999999989</v>
      </c>
      <c r="O69" s="124">
        <f t="shared" ref="O69:O93" si="50">IFERROR(AN69/AN$3,0)</f>
        <v>3</v>
      </c>
      <c r="P69" s="124">
        <f t="shared" ref="P69:P93" si="51">IFERROR(AO69/AO$3,0)</f>
        <v>1.0000000000000013</v>
      </c>
      <c r="Q69" s="124">
        <f t="shared" ref="Q69:Q93" si="52">IFERROR(AP69/AP$3,0)</f>
        <v>0</v>
      </c>
      <c r="R69" s="124">
        <f t="shared" ref="R69:R93" si="53">IFERROR(AQ69/AQ$3,0)</f>
        <v>0</v>
      </c>
      <c r="S69" s="124">
        <f t="shared" ref="S69:S93" si="54">IFERROR(AR69/AR$3,0)</f>
        <v>0</v>
      </c>
      <c r="T69" s="124">
        <f t="shared" ref="T69:T93" si="55">IFERROR(AS69/AS$3,0)</f>
        <v>0</v>
      </c>
      <c r="U69" s="124">
        <f t="shared" ref="U69:U93" si="56">IFERROR(AT69/AT$3,0)</f>
        <v>0</v>
      </c>
      <c r="V69" s="124">
        <f t="shared" ref="V69:V93" si="57">IFERROR(AU69/AU$3,0)</f>
        <v>0</v>
      </c>
      <c r="W69" s="124">
        <f t="shared" ref="W69:W93" si="58">IFERROR(AV69/AV$3,0)</f>
        <v>0</v>
      </c>
      <c r="X69" s="124">
        <f t="shared" ref="X69:X93" si="59">IFERROR(AW69/AW$3,0)</f>
        <v>0</v>
      </c>
      <c r="Y69" s="124">
        <f t="shared" ref="Y69:Y93" si="60">IFERROR(AX69/AX$3,0)</f>
        <v>67.757009345794501</v>
      </c>
      <c r="Z69" s="124">
        <f t="shared" ref="Z69:Z93" si="61">IFERROR(AY69/AY$3,0)</f>
        <v>0</v>
      </c>
      <c r="AA69" s="124">
        <f t="shared" ref="AA69:AA93" si="62">IFERROR(AZ69/AZ$3,0)</f>
        <v>109.14064036267317</v>
      </c>
      <c r="AB69" s="124">
        <f t="shared" ref="AB69:AB93" si="63">IFERROR(BA69/BA$3,0)</f>
        <v>0</v>
      </c>
      <c r="AC69" s="124">
        <f t="shared" ref="AC69:AC93" si="64">IFERROR(BB69/BB$3,0)</f>
        <v>15.499999999999877</v>
      </c>
      <c r="AD69" s="124">
        <f t="shared" ref="AD69:AD93" si="65">IFERROR(BC69/BC$3,0)</f>
        <v>0</v>
      </c>
      <c r="AE69" s="127">
        <v>1602138.75</v>
      </c>
      <c r="AF69" s="63">
        <v>0</v>
      </c>
      <c r="AG69" s="130">
        <v>0</v>
      </c>
      <c r="AH69" s="130">
        <v>40306.319999999927</v>
      </c>
      <c r="AI69" s="130">
        <v>0</v>
      </c>
      <c r="AJ69" s="130">
        <v>92144.146400000143</v>
      </c>
      <c r="AK69" s="130">
        <v>0</v>
      </c>
      <c r="AL69" s="130">
        <v>4395.9381999999978</v>
      </c>
      <c r="AM69" s="130">
        <v>8153.6675999999961</v>
      </c>
      <c r="AN69" s="134">
        <v>1468.9805999999999</v>
      </c>
      <c r="AO69" s="64">
        <v>539.17640000000063</v>
      </c>
      <c r="AP69" s="64">
        <v>0</v>
      </c>
      <c r="AQ69" s="64">
        <v>0</v>
      </c>
      <c r="AR69" s="64">
        <v>0</v>
      </c>
      <c r="AS69" s="64">
        <v>0</v>
      </c>
      <c r="AT69" s="64">
        <v>0</v>
      </c>
      <c r="AU69" s="64">
        <v>0</v>
      </c>
      <c r="AV69" s="64">
        <v>0</v>
      </c>
      <c r="AW69" s="64">
        <v>0</v>
      </c>
      <c r="AX69" s="64">
        <v>44361.191588785121</v>
      </c>
      <c r="AY69" s="64">
        <v>0</v>
      </c>
      <c r="AZ69" s="64">
        <v>141110.1167377074</v>
      </c>
      <c r="BA69" s="64">
        <v>0</v>
      </c>
      <c r="BB69" s="64">
        <v>16458.674999999868</v>
      </c>
      <c r="BC69" s="64">
        <v>0</v>
      </c>
      <c r="BD69" s="64">
        <v>0</v>
      </c>
      <c r="BE69" s="64"/>
      <c r="BF69" s="64">
        <v>159662.24</v>
      </c>
      <c r="BG69" s="64">
        <v>17160</v>
      </c>
      <c r="BH69" s="64"/>
      <c r="BI69" s="134">
        <v>0</v>
      </c>
      <c r="BJ69" s="64"/>
      <c r="BK69" s="64"/>
      <c r="BL69" s="142">
        <v>1602138.75</v>
      </c>
      <c r="BM69" s="64">
        <v>348938.21252649248</v>
      </c>
      <c r="BN69" s="64">
        <v>176822.236</v>
      </c>
      <c r="BO69" s="64">
        <v>247206.428105445</v>
      </c>
      <c r="BP69" s="64">
        <v>2127899.1985264923</v>
      </c>
      <c r="BQ69" s="64">
        <v>2127899.1985264923</v>
      </c>
      <c r="BR69" s="64">
        <v>0</v>
      </c>
      <c r="BS69" s="64">
        <v>1951076.9625264923</v>
      </c>
      <c r="BT69" s="64">
        <v>5202.871900070646</v>
      </c>
      <c r="BU69" s="64">
        <v>5339.5474945876285</v>
      </c>
      <c r="BV69" s="148">
        <v>-2.5596849668538802E-2</v>
      </c>
      <c r="BW69" s="148">
        <v>2.5596849668538802E-2</v>
      </c>
      <c r="BX69" s="64">
        <v>51253.347943868444</v>
      </c>
      <c r="BY69" s="219">
        <v>2179152.5464703608</v>
      </c>
      <c r="BZ69" s="64">
        <v>0</v>
      </c>
      <c r="CA69" s="64">
        <v>0</v>
      </c>
      <c r="CB69" s="188">
        <v>2179152.5464703608</v>
      </c>
      <c r="CC69" s="2"/>
      <c r="CD69" s="212">
        <f>IFERROR(VLOOKUP(B69,#REF!,29,0),0)</f>
        <v>0</v>
      </c>
      <c r="CE69" s="193">
        <f>IFERROR(VLOOKUP(B69,#REF!,28,0),0)</f>
        <v>0</v>
      </c>
      <c r="CF69" s="142"/>
      <c r="CG69" s="194"/>
      <c r="CH69" s="229">
        <v>0</v>
      </c>
      <c r="CI69" s="229">
        <v>0</v>
      </c>
      <c r="CJ69" s="226">
        <v>39200</v>
      </c>
      <c r="CL69" s="401">
        <v>0</v>
      </c>
      <c r="CM69" s="402">
        <v>0</v>
      </c>
      <c r="CN69" s="402">
        <v>0</v>
      </c>
      <c r="CO69" s="402">
        <v>0</v>
      </c>
      <c r="CP69" s="402">
        <v>20135.25</v>
      </c>
      <c r="CQ69" s="402">
        <v>58392.225000000006</v>
      </c>
      <c r="CR69" s="402">
        <v>0</v>
      </c>
      <c r="CS69" s="402">
        <v>0</v>
      </c>
      <c r="CT69" s="206"/>
      <c r="CU69" s="195"/>
      <c r="CV69" s="2"/>
    </row>
    <row r="70" spans="1:100" ht="14" x14ac:dyDescent="0.25">
      <c r="A70" s="32">
        <v>3123405</v>
      </c>
      <c r="B70" s="184">
        <v>3405</v>
      </c>
      <c r="C70" s="179" t="s">
        <v>154</v>
      </c>
      <c r="D70" s="124">
        <v>624</v>
      </c>
      <c r="E70" s="124">
        <v>624</v>
      </c>
      <c r="F70" s="124">
        <v>0</v>
      </c>
      <c r="G70" s="124">
        <v>0</v>
      </c>
      <c r="H70" s="124">
        <v>0</v>
      </c>
      <c r="I70" s="124">
        <f t="shared" si="44"/>
        <v>30.000000000000014</v>
      </c>
      <c r="J70" s="124">
        <f t="shared" si="45"/>
        <v>0</v>
      </c>
      <c r="K70" s="124">
        <f t="shared" si="46"/>
        <v>30.000000000000011</v>
      </c>
      <c r="L70" s="124">
        <f t="shared" si="47"/>
        <v>0</v>
      </c>
      <c r="M70" s="124">
        <f t="shared" si="48"/>
        <v>46.999999999999986</v>
      </c>
      <c r="N70" s="124">
        <f t="shared" si="49"/>
        <v>10.999999999999982</v>
      </c>
      <c r="O70" s="124">
        <f t="shared" si="50"/>
        <v>4.9999999999999982</v>
      </c>
      <c r="P70" s="124">
        <f t="shared" si="51"/>
        <v>0.99999999999999833</v>
      </c>
      <c r="Q70" s="124">
        <f t="shared" si="52"/>
        <v>3.0000000000000013</v>
      </c>
      <c r="R70" s="124">
        <f t="shared" si="53"/>
        <v>0</v>
      </c>
      <c r="S70" s="124">
        <f t="shared" si="54"/>
        <v>0</v>
      </c>
      <c r="T70" s="124">
        <f t="shared" si="55"/>
        <v>0</v>
      </c>
      <c r="U70" s="124">
        <f t="shared" si="56"/>
        <v>0</v>
      </c>
      <c r="V70" s="124">
        <f t="shared" si="57"/>
        <v>0</v>
      </c>
      <c r="W70" s="124">
        <f t="shared" si="58"/>
        <v>0</v>
      </c>
      <c r="X70" s="124">
        <f t="shared" si="59"/>
        <v>0</v>
      </c>
      <c r="Y70" s="124">
        <f t="shared" si="60"/>
        <v>69.981308411214712</v>
      </c>
      <c r="Z70" s="124">
        <f t="shared" si="61"/>
        <v>0</v>
      </c>
      <c r="AA70" s="124">
        <f t="shared" si="62"/>
        <v>92.476536414588153</v>
      </c>
      <c r="AB70" s="124">
        <f t="shared" si="63"/>
        <v>0</v>
      </c>
      <c r="AC70" s="124">
        <f t="shared" si="64"/>
        <v>0</v>
      </c>
      <c r="AD70" s="124">
        <f t="shared" si="65"/>
        <v>0</v>
      </c>
      <c r="AE70" s="127">
        <v>2665958.88</v>
      </c>
      <c r="AF70" s="63">
        <v>0</v>
      </c>
      <c r="AG70" s="130">
        <v>0</v>
      </c>
      <c r="AH70" s="130">
        <v>16340.400000000007</v>
      </c>
      <c r="AI70" s="130">
        <v>0</v>
      </c>
      <c r="AJ70" s="130">
        <v>34991.448000000011</v>
      </c>
      <c r="AK70" s="130">
        <v>0</v>
      </c>
      <c r="AL70" s="130">
        <v>12153.476199999997</v>
      </c>
      <c r="AM70" s="130">
        <v>3449.6285999999945</v>
      </c>
      <c r="AN70" s="134">
        <v>2448.300999999999</v>
      </c>
      <c r="AO70" s="64">
        <v>539.17639999999903</v>
      </c>
      <c r="AP70" s="64">
        <v>1716.5616000000007</v>
      </c>
      <c r="AQ70" s="64">
        <v>0</v>
      </c>
      <c r="AR70" s="64">
        <v>0</v>
      </c>
      <c r="AS70" s="64">
        <v>0</v>
      </c>
      <c r="AT70" s="64">
        <v>0</v>
      </c>
      <c r="AU70" s="64">
        <v>0</v>
      </c>
      <c r="AV70" s="64">
        <v>0</v>
      </c>
      <c r="AW70" s="64">
        <v>0</v>
      </c>
      <c r="AX70" s="64">
        <v>45817.462429906387</v>
      </c>
      <c r="AY70" s="64">
        <v>0</v>
      </c>
      <c r="AZ70" s="64">
        <v>119564.76346114933</v>
      </c>
      <c r="BA70" s="64">
        <v>0</v>
      </c>
      <c r="BB70" s="64">
        <v>0</v>
      </c>
      <c r="BC70" s="64">
        <v>0</v>
      </c>
      <c r="BD70" s="64">
        <v>0</v>
      </c>
      <c r="BE70" s="64">
        <v>159662.24</v>
      </c>
      <c r="BF70" s="64"/>
      <c r="BG70" s="64">
        <v>24123.340800000002</v>
      </c>
      <c r="BH70" s="64"/>
      <c r="BI70" s="134">
        <v>0</v>
      </c>
      <c r="BJ70" s="64"/>
      <c r="BK70" s="64">
        <v>29277.666308944579</v>
      </c>
      <c r="BL70" s="142">
        <v>2665958.88</v>
      </c>
      <c r="BM70" s="64">
        <v>237021.21769105573</v>
      </c>
      <c r="BN70" s="64">
        <v>183785.57680000001</v>
      </c>
      <c r="BO70" s="64">
        <v>239157.26637548031</v>
      </c>
      <c r="BP70" s="64">
        <v>3086765.6744910553</v>
      </c>
      <c r="BQ70" s="64">
        <v>3116043.3407999999</v>
      </c>
      <c r="BR70" s="64">
        <v>0</v>
      </c>
      <c r="BS70" s="64">
        <v>2932257.764</v>
      </c>
      <c r="BT70" s="64">
        <v>4699.1310320512821</v>
      </c>
      <c r="BU70" s="64">
        <v>4760.2424511111103</v>
      </c>
      <c r="BV70" s="148">
        <v>-1.2837879517158611E-2</v>
      </c>
      <c r="BW70" s="148">
        <v>1.2837879517158611E-2</v>
      </c>
      <c r="BX70" s="64">
        <v>38133.525493332811</v>
      </c>
      <c r="BY70" s="219">
        <v>3154176.8662933325</v>
      </c>
      <c r="BZ70" s="64">
        <v>798.72</v>
      </c>
      <c r="CA70" s="64">
        <v>6876.48</v>
      </c>
      <c r="CB70" s="188">
        <v>3146501.6662933324</v>
      </c>
      <c r="CC70" s="2"/>
      <c r="CD70" s="212">
        <f>IFERROR(VLOOKUP(B70,#REF!,29,0),0)</f>
        <v>0</v>
      </c>
      <c r="CE70" s="193">
        <f>IFERROR(VLOOKUP(B70,#REF!,28,0),0)</f>
        <v>0</v>
      </c>
      <c r="CF70" s="142"/>
      <c r="CG70" s="194"/>
      <c r="CH70" s="229">
        <v>0</v>
      </c>
      <c r="CI70" s="229">
        <v>0</v>
      </c>
      <c r="CJ70" s="226">
        <v>61377</v>
      </c>
      <c r="CL70" s="401">
        <v>53280</v>
      </c>
      <c r="CM70" s="402">
        <v>4690</v>
      </c>
      <c r="CN70" s="402">
        <v>2530</v>
      </c>
      <c r="CO70" s="402">
        <v>8912</v>
      </c>
      <c r="CP70" s="402">
        <v>42835.5</v>
      </c>
      <c r="CQ70" s="402">
        <v>124222.95000000001</v>
      </c>
      <c r="CR70" s="402">
        <v>103677.29999999999</v>
      </c>
      <c r="CS70" s="402">
        <v>0</v>
      </c>
      <c r="CT70" s="206"/>
      <c r="CU70" s="195"/>
      <c r="CV70" s="2"/>
    </row>
    <row r="71" spans="1:100" ht="14" x14ac:dyDescent="0.25">
      <c r="A71" s="32">
        <v>3125208</v>
      </c>
      <c r="B71" s="184">
        <v>5208</v>
      </c>
      <c r="C71" s="179" t="s">
        <v>282</v>
      </c>
      <c r="D71" s="124">
        <v>185</v>
      </c>
      <c r="E71" s="124">
        <v>185</v>
      </c>
      <c r="F71" s="124">
        <v>0</v>
      </c>
      <c r="G71" s="124">
        <v>0</v>
      </c>
      <c r="H71" s="124">
        <v>0</v>
      </c>
      <c r="I71" s="124">
        <f t="shared" si="44"/>
        <v>64.000000000000014</v>
      </c>
      <c r="J71" s="124">
        <f t="shared" si="45"/>
        <v>0</v>
      </c>
      <c r="K71" s="124">
        <f t="shared" si="46"/>
        <v>64.000000000000014</v>
      </c>
      <c r="L71" s="124">
        <f t="shared" si="47"/>
        <v>0</v>
      </c>
      <c r="M71" s="124">
        <f t="shared" si="48"/>
        <v>21.114130434782663</v>
      </c>
      <c r="N71" s="124">
        <f t="shared" si="49"/>
        <v>63.3423913043478</v>
      </c>
      <c r="O71" s="124">
        <f t="shared" si="50"/>
        <v>8.0434782608695627</v>
      </c>
      <c r="P71" s="124">
        <f t="shared" si="51"/>
        <v>4.0217391304347814</v>
      </c>
      <c r="Q71" s="124">
        <f t="shared" si="52"/>
        <v>0</v>
      </c>
      <c r="R71" s="124">
        <f t="shared" si="53"/>
        <v>0</v>
      </c>
      <c r="S71" s="124">
        <f t="shared" si="54"/>
        <v>0</v>
      </c>
      <c r="T71" s="124">
        <f t="shared" si="55"/>
        <v>0</v>
      </c>
      <c r="U71" s="124">
        <f t="shared" si="56"/>
        <v>0</v>
      </c>
      <c r="V71" s="124">
        <f t="shared" si="57"/>
        <v>0</v>
      </c>
      <c r="W71" s="124">
        <f t="shared" si="58"/>
        <v>0</v>
      </c>
      <c r="X71" s="124">
        <f t="shared" si="59"/>
        <v>0</v>
      </c>
      <c r="Y71" s="124">
        <f t="shared" si="60"/>
        <v>60.545454545454497</v>
      </c>
      <c r="Z71" s="124">
        <f t="shared" si="61"/>
        <v>0</v>
      </c>
      <c r="AA71" s="124">
        <f t="shared" si="62"/>
        <v>49.927079448522946</v>
      </c>
      <c r="AB71" s="124">
        <f t="shared" si="63"/>
        <v>0</v>
      </c>
      <c r="AC71" s="124">
        <f t="shared" si="64"/>
        <v>15.900000000000013</v>
      </c>
      <c r="AD71" s="124">
        <f t="shared" si="65"/>
        <v>0</v>
      </c>
      <c r="AE71" s="127">
        <v>790388.45</v>
      </c>
      <c r="AF71" s="63">
        <v>0</v>
      </c>
      <c r="AG71" s="130">
        <v>0</v>
      </c>
      <c r="AH71" s="130">
        <v>34859.520000000004</v>
      </c>
      <c r="AI71" s="130">
        <v>0</v>
      </c>
      <c r="AJ71" s="130">
        <v>74648.42240000001</v>
      </c>
      <c r="AK71" s="130">
        <v>0</v>
      </c>
      <c r="AL71" s="130">
        <v>5459.7889728261016</v>
      </c>
      <c r="AM71" s="130">
        <v>19864.338603260861</v>
      </c>
      <c r="AN71" s="134">
        <v>3938.571173913042</v>
      </c>
      <c r="AO71" s="64">
        <v>2168.4268260869558</v>
      </c>
      <c r="AP71" s="64">
        <v>0</v>
      </c>
      <c r="AQ71" s="64">
        <v>0</v>
      </c>
      <c r="AR71" s="64">
        <v>0</v>
      </c>
      <c r="AS71" s="64">
        <v>0</v>
      </c>
      <c r="AT71" s="64">
        <v>0</v>
      </c>
      <c r="AU71" s="64">
        <v>0</v>
      </c>
      <c r="AV71" s="64">
        <v>0</v>
      </c>
      <c r="AW71" s="64">
        <v>0</v>
      </c>
      <c r="AX71" s="64">
        <v>39639.714545454517</v>
      </c>
      <c r="AY71" s="64">
        <v>0</v>
      </c>
      <c r="AZ71" s="64">
        <v>64551.719560584294</v>
      </c>
      <c r="BA71" s="64">
        <v>0</v>
      </c>
      <c r="BB71" s="64">
        <v>16883.415000000012</v>
      </c>
      <c r="BC71" s="64">
        <v>0</v>
      </c>
      <c r="BD71" s="64">
        <v>0</v>
      </c>
      <c r="BE71" s="64">
        <v>159662.24</v>
      </c>
      <c r="BF71" s="64"/>
      <c r="BG71" s="64">
        <v>4473.2896000000001</v>
      </c>
      <c r="BH71" s="64"/>
      <c r="BI71" s="134">
        <v>0</v>
      </c>
      <c r="BJ71" s="64"/>
      <c r="BK71" s="64"/>
      <c r="BL71" s="142">
        <v>790388.45</v>
      </c>
      <c r="BM71" s="64">
        <v>262013.91708212579</v>
      </c>
      <c r="BN71" s="64">
        <v>164135.52559999999</v>
      </c>
      <c r="BO71" s="64">
        <v>145814.91460818835</v>
      </c>
      <c r="BP71" s="64">
        <v>1216537.8926821258</v>
      </c>
      <c r="BQ71" s="64">
        <v>1216537.8926821258</v>
      </c>
      <c r="BR71" s="64">
        <v>0</v>
      </c>
      <c r="BS71" s="64">
        <v>1052402.3670821257</v>
      </c>
      <c r="BT71" s="64">
        <v>5688.661443687166</v>
      </c>
      <c r="BU71" s="64">
        <v>5497.2064084656076</v>
      </c>
      <c r="BV71" s="148">
        <v>3.4827696287103339E-2</v>
      </c>
      <c r="BW71" s="148">
        <v>0</v>
      </c>
      <c r="BX71" s="64">
        <v>0</v>
      </c>
      <c r="BY71" s="219">
        <v>1216537.8926821258</v>
      </c>
      <c r="BZ71" s="64">
        <v>236.8</v>
      </c>
      <c r="CA71" s="64">
        <v>2038.6999999999998</v>
      </c>
      <c r="CB71" s="188">
        <v>1214262.3926821258</v>
      </c>
      <c r="CC71" s="2"/>
      <c r="CD71" s="212">
        <f>IFERROR(VLOOKUP(B71,#REF!,29,0),0)</f>
        <v>0</v>
      </c>
      <c r="CE71" s="193">
        <f>IFERROR(VLOOKUP(B71,#REF!,28,0),0)</f>
        <v>0</v>
      </c>
      <c r="CF71" s="142"/>
      <c r="CG71" s="194"/>
      <c r="CH71" s="229">
        <v>0</v>
      </c>
      <c r="CI71" s="229">
        <v>0</v>
      </c>
      <c r="CJ71" s="226">
        <v>36100</v>
      </c>
      <c r="CL71" s="401">
        <v>90280</v>
      </c>
      <c r="CM71" s="402">
        <v>1340</v>
      </c>
      <c r="CN71" s="402" t="s">
        <v>266</v>
      </c>
      <c r="CO71" s="402">
        <v>7325</v>
      </c>
      <c r="CP71" s="402">
        <v>9105.75</v>
      </c>
      <c r="CQ71" s="402">
        <v>26406.675000000003</v>
      </c>
      <c r="CR71" s="402">
        <v>22059</v>
      </c>
      <c r="CS71" s="402">
        <v>0</v>
      </c>
      <c r="CT71" s="206"/>
      <c r="CU71" s="195"/>
      <c r="CV71" s="2"/>
    </row>
    <row r="72" spans="1:100" ht="14" x14ac:dyDescent="0.25">
      <c r="A72" s="32">
        <v>3123402</v>
      </c>
      <c r="B72" s="184">
        <v>3402</v>
      </c>
      <c r="C72" s="179" t="s">
        <v>156</v>
      </c>
      <c r="D72" s="124">
        <v>403</v>
      </c>
      <c r="E72" s="124">
        <v>403</v>
      </c>
      <c r="F72" s="124">
        <v>0</v>
      </c>
      <c r="G72" s="124">
        <v>0</v>
      </c>
      <c r="H72" s="124">
        <v>0</v>
      </c>
      <c r="I72" s="124">
        <f t="shared" si="44"/>
        <v>41.000000000000149</v>
      </c>
      <c r="J72" s="124">
        <f t="shared" si="45"/>
        <v>0</v>
      </c>
      <c r="K72" s="124">
        <f t="shared" si="46"/>
        <v>42.999999999999922</v>
      </c>
      <c r="L72" s="124">
        <f t="shared" si="47"/>
        <v>0</v>
      </c>
      <c r="M72" s="124">
        <f t="shared" si="48"/>
        <v>63.000000000000156</v>
      </c>
      <c r="N72" s="124">
        <f t="shared" si="49"/>
        <v>71.000000000000085</v>
      </c>
      <c r="O72" s="124">
        <f t="shared" si="50"/>
        <v>5.000000000000016</v>
      </c>
      <c r="P72" s="124">
        <f t="shared" si="51"/>
        <v>0</v>
      </c>
      <c r="Q72" s="124">
        <f t="shared" si="52"/>
        <v>0</v>
      </c>
      <c r="R72" s="124">
        <f t="shared" si="53"/>
        <v>0</v>
      </c>
      <c r="S72" s="124">
        <f t="shared" si="54"/>
        <v>0</v>
      </c>
      <c r="T72" s="124">
        <f t="shared" si="55"/>
        <v>0</v>
      </c>
      <c r="U72" s="124">
        <f t="shared" si="56"/>
        <v>0</v>
      </c>
      <c r="V72" s="124">
        <f t="shared" si="57"/>
        <v>0</v>
      </c>
      <c r="W72" s="124">
        <f t="shared" si="58"/>
        <v>0</v>
      </c>
      <c r="X72" s="124">
        <f t="shared" si="59"/>
        <v>0</v>
      </c>
      <c r="Y72" s="124">
        <f t="shared" si="60"/>
        <v>59.230547550432135</v>
      </c>
      <c r="Z72" s="124">
        <f t="shared" si="61"/>
        <v>0</v>
      </c>
      <c r="AA72" s="124">
        <f t="shared" si="62"/>
        <v>93.00021579061341</v>
      </c>
      <c r="AB72" s="124">
        <f t="shared" si="63"/>
        <v>0</v>
      </c>
      <c r="AC72" s="124">
        <f t="shared" si="64"/>
        <v>0.82000000000000473</v>
      </c>
      <c r="AD72" s="124">
        <f t="shared" si="65"/>
        <v>0</v>
      </c>
      <c r="AE72" s="127">
        <v>1721765.1099999999</v>
      </c>
      <c r="AF72" s="63">
        <v>0</v>
      </c>
      <c r="AG72" s="130">
        <v>0</v>
      </c>
      <c r="AH72" s="130">
        <v>22331.880000000077</v>
      </c>
      <c r="AI72" s="130">
        <v>0</v>
      </c>
      <c r="AJ72" s="130">
        <v>50154.408799999903</v>
      </c>
      <c r="AK72" s="130">
        <v>0</v>
      </c>
      <c r="AL72" s="130">
        <v>16290.829800000041</v>
      </c>
      <c r="AM72" s="130">
        <v>22265.784600000028</v>
      </c>
      <c r="AN72" s="134">
        <v>2448.3010000000077</v>
      </c>
      <c r="AO72" s="64">
        <v>0</v>
      </c>
      <c r="AP72" s="64">
        <v>0</v>
      </c>
      <c r="AQ72" s="64">
        <v>0</v>
      </c>
      <c r="AR72" s="64">
        <v>0</v>
      </c>
      <c r="AS72" s="64">
        <v>0</v>
      </c>
      <c r="AT72" s="64">
        <v>0</v>
      </c>
      <c r="AU72" s="64">
        <v>0</v>
      </c>
      <c r="AV72" s="64">
        <v>0</v>
      </c>
      <c r="AW72" s="64">
        <v>0</v>
      </c>
      <c r="AX72" s="64">
        <v>38778.831786743423</v>
      </c>
      <c r="AY72" s="64">
        <v>0</v>
      </c>
      <c r="AZ72" s="64">
        <v>120241.83899999991</v>
      </c>
      <c r="BA72" s="64">
        <v>0</v>
      </c>
      <c r="BB72" s="64">
        <v>870.71700000000499</v>
      </c>
      <c r="BC72" s="64">
        <v>0</v>
      </c>
      <c r="BD72" s="64">
        <v>0</v>
      </c>
      <c r="BE72" s="64">
        <v>159662.24</v>
      </c>
      <c r="BF72" s="64"/>
      <c r="BG72" s="64">
        <v>5367.3984</v>
      </c>
      <c r="BH72" s="64"/>
      <c r="BI72" s="134">
        <v>0</v>
      </c>
      <c r="BJ72" s="64"/>
      <c r="BK72" s="64"/>
      <c r="BL72" s="142">
        <v>1721765.1099999999</v>
      </c>
      <c r="BM72" s="64">
        <v>273382.59198674338</v>
      </c>
      <c r="BN72" s="64">
        <v>165029.63440000001</v>
      </c>
      <c r="BO72" s="64">
        <v>222096.8003019999</v>
      </c>
      <c r="BP72" s="64">
        <v>2160177.336386743</v>
      </c>
      <c r="BQ72" s="64">
        <v>2160177.336386743</v>
      </c>
      <c r="BR72" s="64">
        <v>0</v>
      </c>
      <c r="BS72" s="64">
        <v>1995147.7019867429</v>
      </c>
      <c r="BT72" s="64">
        <v>4950.7387146073024</v>
      </c>
      <c r="BU72" s="64">
        <v>4882.068307560975</v>
      </c>
      <c r="BV72" s="148">
        <v>1.406584314684331E-2</v>
      </c>
      <c r="BW72" s="148">
        <v>0</v>
      </c>
      <c r="BX72" s="64">
        <v>0</v>
      </c>
      <c r="BY72" s="219">
        <v>2160177.336386743</v>
      </c>
      <c r="BZ72" s="64">
        <v>515.84</v>
      </c>
      <c r="CA72" s="64">
        <v>4441.0599999999995</v>
      </c>
      <c r="CB72" s="188">
        <v>2155220.4363867431</v>
      </c>
      <c r="CC72" s="2"/>
      <c r="CD72" s="212">
        <f>IFERROR(VLOOKUP(B72,#REF!,29,0),0)</f>
        <v>0</v>
      </c>
      <c r="CE72" s="193">
        <f>IFERROR(VLOOKUP(B72,#REF!,28,0),0)</f>
        <v>0</v>
      </c>
      <c r="CF72" s="142"/>
      <c r="CG72" s="194"/>
      <c r="CH72" s="229">
        <v>0</v>
      </c>
      <c r="CI72" s="229">
        <v>0</v>
      </c>
      <c r="CJ72" s="226">
        <v>92687</v>
      </c>
      <c r="CL72" s="401">
        <v>63640</v>
      </c>
      <c r="CM72" s="402">
        <v>1340</v>
      </c>
      <c r="CN72" s="402">
        <v>5060</v>
      </c>
      <c r="CO72" s="402">
        <v>8100</v>
      </c>
      <c r="CP72" s="402">
        <v>26804.25</v>
      </c>
      <c r="CQ72" s="402">
        <v>77732.325000000012</v>
      </c>
      <c r="CR72" s="402">
        <v>69608.400000000009</v>
      </c>
      <c r="CS72" s="402">
        <v>0</v>
      </c>
      <c r="CT72" s="206"/>
      <c r="CU72" s="195"/>
      <c r="CV72" s="2"/>
    </row>
    <row r="73" spans="1:100" ht="14" x14ac:dyDescent="0.25">
      <c r="A73" s="32">
        <v>3123403</v>
      </c>
      <c r="B73" s="184">
        <v>3403</v>
      </c>
      <c r="C73" s="179" t="s">
        <v>283</v>
      </c>
      <c r="D73" s="124">
        <v>202</v>
      </c>
      <c r="E73" s="124">
        <v>202</v>
      </c>
      <c r="F73" s="124">
        <v>0</v>
      </c>
      <c r="G73" s="124">
        <v>0</v>
      </c>
      <c r="H73" s="124">
        <v>0</v>
      </c>
      <c r="I73" s="124">
        <f t="shared" si="44"/>
        <v>42.000000000000014</v>
      </c>
      <c r="J73" s="124">
        <f t="shared" si="45"/>
        <v>0</v>
      </c>
      <c r="K73" s="124">
        <f t="shared" si="46"/>
        <v>42.000000000000014</v>
      </c>
      <c r="L73" s="124">
        <f t="shared" si="47"/>
        <v>0</v>
      </c>
      <c r="M73" s="124">
        <f t="shared" si="48"/>
        <v>33.999999999999936</v>
      </c>
      <c r="N73" s="124">
        <f t="shared" si="49"/>
        <v>71.999999999999901</v>
      </c>
      <c r="O73" s="124">
        <f t="shared" si="50"/>
        <v>15.999999999999998</v>
      </c>
      <c r="P73" s="124">
        <f t="shared" si="51"/>
        <v>44.000000000000036</v>
      </c>
      <c r="Q73" s="124">
        <f t="shared" si="52"/>
        <v>0</v>
      </c>
      <c r="R73" s="124">
        <f t="shared" si="53"/>
        <v>0</v>
      </c>
      <c r="S73" s="124">
        <f t="shared" si="54"/>
        <v>0</v>
      </c>
      <c r="T73" s="124">
        <f t="shared" si="55"/>
        <v>0</v>
      </c>
      <c r="U73" s="124">
        <f t="shared" si="56"/>
        <v>0</v>
      </c>
      <c r="V73" s="124">
        <f t="shared" si="57"/>
        <v>0</v>
      </c>
      <c r="W73" s="124">
        <f t="shared" si="58"/>
        <v>0</v>
      </c>
      <c r="X73" s="124">
        <f t="shared" si="59"/>
        <v>0</v>
      </c>
      <c r="Y73" s="124">
        <f t="shared" si="60"/>
        <v>49.592814371257454</v>
      </c>
      <c r="Z73" s="124">
        <f t="shared" si="61"/>
        <v>0</v>
      </c>
      <c r="AA73" s="124">
        <f t="shared" si="62"/>
        <v>57.403515956560419</v>
      </c>
      <c r="AB73" s="124">
        <f t="shared" si="63"/>
        <v>0</v>
      </c>
      <c r="AC73" s="124">
        <f t="shared" si="64"/>
        <v>0</v>
      </c>
      <c r="AD73" s="124">
        <f t="shared" si="65"/>
        <v>0</v>
      </c>
      <c r="AE73" s="127">
        <v>863018.74</v>
      </c>
      <c r="AF73" s="63">
        <v>0</v>
      </c>
      <c r="AG73" s="130">
        <v>0</v>
      </c>
      <c r="AH73" s="130">
        <v>22876.560000000005</v>
      </c>
      <c r="AI73" s="130">
        <v>0</v>
      </c>
      <c r="AJ73" s="130">
        <v>48988.027200000011</v>
      </c>
      <c r="AK73" s="130">
        <v>0</v>
      </c>
      <c r="AL73" s="130">
        <v>8791.8763999999846</v>
      </c>
      <c r="AM73" s="130">
        <v>22579.387199999968</v>
      </c>
      <c r="AN73" s="134">
        <v>7834.5631999999987</v>
      </c>
      <c r="AO73" s="64">
        <v>23723.761600000016</v>
      </c>
      <c r="AP73" s="64">
        <v>0</v>
      </c>
      <c r="AQ73" s="64">
        <v>0</v>
      </c>
      <c r="AR73" s="64">
        <v>0</v>
      </c>
      <c r="AS73" s="64">
        <v>0</v>
      </c>
      <c r="AT73" s="64">
        <v>0</v>
      </c>
      <c r="AU73" s="64">
        <v>0</v>
      </c>
      <c r="AV73" s="64">
        <v>0</v>
      </c>
      <c r="AW73" s="64">
        <v>0</v>
      </c>
      <c r="AX73" s="64">
        <v>32468.911497005971</v>
      </c>
      <c r="AY73" s="64">
        <v>0</v>
      </c>
      <c r="AZ73" s="64">
        <v>74218.153850556104</v>
      </c>
      <c r="BA73" s="64">
        <v>0</v>
      </c>
      <c r="BB73" s="64">
        <v>0</v>
      </c>
      <c r="BC73" s="64">
        <v>0</v>
      </c>
      <c r="BD73" s="64">
        <v>0</v>
      </c>
      <c r="BE73" s="64">
        <v>159662.24</v>
      </c>
      <c r="BF73" s="64"/>
      <c r="BG73" s="64">
        <v>4278.5183999999999</v>
      </c>
      <c r="BH73" s="64"/>
      <c r="BI73" s="134">
        <v>0</v>
      </c>
      <c r="BJ73" s="64"/>
      <c r="BK73" s="64"/>
      <c r="BL73" s="142">
        <v>863018.74</v>
      </c>
      <c r="BM73" s="64">
        <v>241481.24094756204</v>
      </c>
      <c r="BN73" s="64">
        <v>163940.75440000001</v>
      </c>
      <c r="BO73" s="64">
        <v>157104.1690115227</v>
      </c>
      <c r="BP73" s="64">
        <v>1268440.735347562</v>
      </c>
      <c r="BQ73" s="64">
        <v>1268440.735347562</v>
      </c>
      <c r="BR73" s="64">
        <v>0</v>
      </c>
      <c r="BS73" s="64">
        <v>1104499.980947562</v>
      </c>
      <c r="BT73" s="64">
        <v>5467.8216878592184</v>
      </c>
      <c r="BU73" s="64">
        <v>5572.9239059701486</v>
      </c>
      <c r="BV73" s="148">
        <v>-1.8859438938029729E-2</v>
      </c>
      <c r="BW73" s="148">
        <v>1.8859438938029729E-2</v>
      </c>
      <c r="BX73" s="64">
        <v>21230.648058407889</v>
      </c>
      <c r="BY73" s="219">
        <v>1289671.3834059699</v>
      </c>
      <c r="BZ73" s="64">
        <v>258.56</v>
      </c>
      <c r="CA73" s="64">
        <v>2226.04</v>
      </c>
      <c r="CB73" s="188">
        <v>1287186.7834059699</v>
      </c>
      <c r="CC73" s="2"/>
      <c r="CD73" s="212">
        <f>IFERROR(VLOOKUP(B73,#REF!,29,0),0)</f>
        <v>0</v>
      </c>
      <c r="CE73" s="193">
        <f>IFERROR(VLOOKUP(B73,#REF!,28,0),0)</f>
        <v>0</v>
      </c>
      <c r="CF73" s="142"/>
      <c r="CG73" s="194"/>
      <c r="CH73" s="229">
        <v>0</v>
      </c>
      <c r="CI73" s="229">
        <v>0</v>
      </c>
      <c r="CJ73" s="226">
        <v>32900</v>
      </c>
      <c r="CL73" s="401">
        <v>71040</v>
      </c>
      <c r="CM73" s="402" t="s">
        <v>266</v>
      </c>
      <c r="CN73" s="402">
        <v>2530</v>
      </c>
      <c r="CO73" s="402">
        <v>7396</v>
      </c>
      <c r="CP73" s="402">
        <v>10773</v>
      </c>
      <c r="CQ73" s="402">
        <v>31241.699999999997</v>
      </c>
      <c r="CR73" s="402">
        <v>32108.100000000002</v>
      </c>
      <c r="CS73" s="402">
        <v>0</v>
      </c>
      <c r="CT73" s="206"/>
      <c r="CU73" s="195"/>
      <c r="CV73" s="2"/>
    </row>
    <row r="74" spans="1:100" ht="14" hidden="1" x14ac:dyDescent="0.25">
      <c r="A74" s="32">
        <v>3122035</v>
      </c>
      <c r="B74" s="184">
        <v>2035</v>
      </c>
      <c r="C74" s="179" t="s">
        <v>284</v>
      </c>
      <c r="D74" s="124">
        <v>233</v>
      </c>
      <c r="E74" s="124">
        <v>233</v>
      </c>
      <c r="F74" s="124">
        <v>0</v>
      </c>
      <c r="G74" s="124">
        <v>0</v>
      </c>
      <c r="H74" s="124">
        <v>0</v>
      </c>
      <c r="I74" s="124">
        <f t="shared" si="44"/>
        <v>72.000000000000071</v>
      </c>
      <c r="J74" s="124">
        <f t="shared" si="45"/>
        <v>0</v>
      </c>
      <c r="K74" s="124">
        <f t="shared" si="46"/>
        <v>73.000000000000014</v>
      </c>
      <c r="L74" s="124">
        <f t="shared" si="47"/>
        <v>0</v>
      </c>
      <c r="M74" s="124">
        <f t="shared" si="48"/>
        <v>34.000000000000028</v>
      </c>
      <c r="N74" s="124">
        <f t="shared" si="49"/>
        <v>113.99999999999991</v>
      </c>
      <c r="O74" s="124">
        <f t="shared" si="50"/>
        <v>5.0000000000000098</v>
      </c>
      <c r="P74" s="124">
        <f t="shared" si="51"/>
        <v>35.999999999999922</v>
      </c>
      <c r="Q74" s="124">
        <f t="shared" si="52"/>
        <v>0</v>
      </c>
      <c r="R74" s="124">
        <f t="shared" si="53"/>
        <v>0</v>
      </c>
      <c r="S74" s="124">
        <f t="shared" si="54"/>
        <v>0</v>
      </c>
      <c r="T74" s="124">
        <f t="shared" si="55"/>
        <v>0</v>
      </c>
      <c r="U74" s="124">
        <f t="shared" si="56"/>
        <v>0</v>
      </c>
      <c r="V74" s="124">
        <f t="shared" si="57"/>
        <v>0</v>
      </c>
      <c r="W74" s="124">
        <f t="shared" si="58"/>
        <v>0</v>
      </c>
      <c r="X74" s="124">
        <f t="shared" si="59"/>
        <v>0</v>
      </c>
      <c r="Y74" s="124">
        <f t="shared" si="60"/>
        <v>39.587378640776649</v>
      </c>
      <c r="Z74" s="124">
        <f t="shared" si="61"/>
        <v>0</v>
      </c>
      <c r="AA74" s="124">
        <f t="shared" si="62"/>
        <v>93.24660816496538</v>
      </c>
      <c r="AB74" s="124">
        <f t="shared" si="63"/>
        <v>0</v>
      </c>
      <c r="AC74" s="124">
        <f t="shared" si="64"/>
        <v>11.020000000000049</v>
      </c>
      <c r="AD74" s="124">
        <f t="shared" si="65"/>
        <v>0</v>
      </c>
      <c r="AE74" s="127">
        <v>995462.21</v>
      </c>
      <c r="AF74" s="63">
        <v>0</v>
      </c>
      <c r="AG74" s="130">
        <v>0</v>
      </c>
      <c r="AH74" s="130">
        <v>39216.960000000036</v>
      </c>
      <c r="AI74" s="130">
        <v>0</v>
      </c>
      <c r="AJ74" s="130">
        <v>85145.856800000009</v>
      </c>
      <c r="AK74" s="130">
        <v>0</v>
      </c>
      <c r="AL74" s="130">
        <v>8791.8764000000083</v>
      </c>
      <c r="AM74" s="130">
        <v>35750.696399999972</v>
      </c>
      <c r="AN74" s="134">
        <v>2448.3010000000045</v>
      </c>
      <c r="AO74" s="64">
        <v>19410.350399999956</v>
      </c>
      <c r="AP74" s="64">
        <v>0</v>
      </c>
      <c r="AQ74" s="64">
        <v>0</v>
      </c>
      <c r="AR74" s="64">
        <v>0</v>
      </c>
      <c r="AS74" s="64">
        <v>0</v>
      </c>
      <c r="AT74" s="64">
        <v>0</v>
      </c>
      <c r="AU74" s="64">
        <v>0</v>
      </c>
      <c r="AV74" s="64">
        <v>0</v>
      </c>
      <c r="AW74" s="64">
        <v>0</v>
      </c>
      <c r="AX74" s="64">
        <v>25918.252669902882</v>
      </c>
      <c r="AY74" s="64">
        <v>0</v>
      </c>
      <c r="AZ74" s="64">
        <v>120560.40462864704</v>
      </c>
      <c r="BA74" s="64">
        <v>0</v>
      </c>
      <c r="BB74" s="64">
        <v>11701.58700000005</v>
      </c>
      <c r="BC74" s="64">
        <v>0</v>
      </c>
      <c r="BD74" s="64">
        <v>0</v>
      </c>
      <c r="BE74" s="64">
        <v>159662.24</v>
      </c>
      <c r="BF74" s="64"/>
      <c r="BG74" s="64">
        <v>11202.88</v>
      </c>
      <c r="BH74" s="64"/>
      <c r="BI74" s="134">
        <v>0</v>
      </c>
      <c r="BJ74" s="64"/>
      <c r="BK74" s="64"/>
      <c r="BL74" s="142">
        <v>995462.21</v>
      </c>
      <c r="BM74" s="64">
        <v>348944.28529854992</v>
      </c>
      <c r="BN74" s="64">
        <v>170865.11600000001</v>
      </c>
      <c r="BO74" s="64">
        <v>225373.39475292823</v>
      </c>
      <c r="BP74" s="64">
        <v>1515271.6112985499</v>
      </c>
      <c r="BQ74" s="64">
        <v>1515271.6112985499</v>
      </c>
      <c r="BR74" s="64">
        <v>0</v>
      </c>
      <c r="BS74" s="64">
        <v>1344406.49529855</v>
      </c>
      <c r="BT74" s="64">
        <v>5769.9849583628757</v>
      </c>
      <c r="BU74" s="64">
        <v>5840.1501895161291</v>
      </c>
      <c r="BV74" s="148">
        <v>-1.201428539957922E-2</v>
      </c>
      <c r="BW74" s="148">
        <v>1.201428539957922E-2</v>
      </c>
      <c r="BX74" s="64">
        <v>16348.498858708052</v>
      </c>
      <c r="BY74" s="219">
        <v>1531620.1101572579</v>
      </c>
      <c r="BZ74" s="64">
        <v>0</v>
      </c>
      <c r="CA74" s="64">
        <v>0</v>
      </c>
      <c r="CB74" s="188">
        <v>1531620.1101572579</v>
      </c>
      <c r="CC74" s="2"/>
      <c r="CD74" s="212">
        <f>IFERROR(VLOOKUP(B74,#REF!,29,0),0)</f>
        <v>0</v>
      </c>
      <c r="CE74" s="193">
        <f>IFERROR(VLOOKUP(B74,#REF!,28,0),0)</f>
        <v>0</v>
      </c>
      <c r="CF74" s="142"/>
      <c r="CG74" s="194"/>
      <c r="CH74" s="229">
        <v>72000</v>
      </c>
      <c r="CI74" s="229">
        <v>0</v>
      </c>
      <c r="CJ74" s="226">
        <v>117388</v>
      </c>
      <c r="CL74" s="401">
        <v>0</v>
      </c>
      <c r="CM74" s="402">
        <v>0</v>
      </c>
      <c r="CN74" s="402">
        <v>0</v>
      </c>
      <c r="CO74" s="402">
        <v>0</v>
      </c>
      <c r="CP74" s="402">
        <v>13209.75</v>
      </c>
      <c r="CQ74" s="402">
        <v>38308.274999999994</v>
      </c>
      <c r="CR74" s="402">
        <v>0</v>
      </c>
      <c r="CS74" s="402">
        <v>0</v>
      </c>
      <c r="CT74" s="206"/>
      <c r="CU74" s="195"/>
      <c r="CV74" s="2"/>
    </row>
    <row r="75" spans="1:100" ht="14" x14ac:dyDescent="0.25">
      <c r="A75" s="32">
        <v>3123404</v>
      </c>
      <c r="B75" s="184">
        <v>3404</v>
      </c>
      <c r="C75" s="179" t="s">
        <v>159</v>
      </c>
      <c r="D75" s="124">
        <v>211</v>
      </c>
      <c r="E75" s="124">
        <v>211</v>
      </c>
      <c r="F75" s="124">
        <v>0</v>
      </c>
      <c r="G75" s="124">
        <v>0</v>
      </c>
      <c r="H75" s="124">
        <v>0</v>
      </c>
      <c r="I75" s="124">
        <f t="shared" si="44"/>
        <v>30.000000000000028</v>
      </c>
      <c r="J75" s="124">
        <f t="shared" si="45"/>
        <v>0</v>
      </c>
      <c r="K75" s="124">
        <f t="shared" si="46"/>
        <v>30.000000000000028</v>
      </c>
      <c r="L75" s="124">
        <f t="shared" si="47"/>
        <v>0</v>
      </c>
      <c r="M75" s="124">
        <f t="shared" si="48"/>
        <v>22.000000000000021</v>
      </c>
      <c r="N75" s="124">
        <f t="shared" si="49"/>
        <v>71.000000000000071</v>
      </c>
      <c r="O75" s="124">
        <f t="shared" si="50"/>
        <v>28.000000000000025</v>
      </c>
      <c r="P75" s="124">
        <f t="shared" si="51"/>
        <v>4.0000000000000036</v>
      </c>
      <c r="Q75" s="124">
        <f t="shared" si="52"/>
        <v>0</v>
      </c>
      <c r="R75" s="124">
        <f t="shared" si="53"/>
        <v>0</v>
      </c>
      <c r="S75" s="124">
        <f t="shared" si="54"/>
        <v>0</v>
      </c>
      <c r="T75" s="124">
        <f t="shared" si="55"/>
        <v>0</v>
      </c>
      <c r="U75" s="124">
        <f t="shared" si="56"/>
        <v>0</v>
      </c>
      <c r="V75" s="124">
        <f t="shared" si="57"/>
        <v>0</v>
      </c>
      <c r="W75" s="124">
        <f t="shared" si="58"/>
        <v>0</v>
      </c>
      <c r="X75" s="124">
        <f t="shared" si="59"/>
        <v>0</v>
      </c>
      <c r="Y75" s="124">
        <f t="shared" si="60"/>
        <v>57.43888888888884</v>
      </c>
      <c r="Z75" s="124">
        <f t="shared" si="61"/>
        <v>0</v>
      </c>
      <c r="AA75" s="124">
        <f t="shared" si="62"/>
        <v>53.59169118841033</v>
      </c>
      <c r="AB75" s="124">
        <f t="shared" si="63"/>
        <v>0</v>
      </c>
      <c r="AC75" s="124">
        <f t="shared" si="64"/>
        <v>0</v>
      </c>
      <c r="AD75" s="124">
        <f t="shared" si="65"/>
        <v>0</v>
      </c>
      <c r="AE75" s="127">
        <v>901470.07</v>
      </c>
      <c r="AF75" s="63">
        <v>0</v>
      </c>
      <c r="AG75" s="130">
        <v>0</v>
      </c>
      <c r="AH75" s="130">
        <v>16340.400000000014</v>
      </c>
      <c r="AI75" s="130">
        <v>0</v>
      </c>
      <c r="AJ75" s="130">
        <v>34991.448000000033</v>
      </c>
      <c r="AK75" s="130">
        <v>0</v>
      </c>
      <c r="AL75" s="130">
        <v>5688.8612000000057</v>
      </c>
      <c r="AM75" s="130">
        <v>22265.784600000021</v>
      </c>
      <c r="AN75" s="134">
        <v>13710.485600000011</v>
      </c>
      <c r="AO75" s="64">
        <v>2156.7056000000016</v>
      </c>
      <c r="AP75" s="64">
        <v>0</v>
      </c>
      <c r="AQ75" s="64">
        <v>0</v>
      </c>
      <c r="AR75" s="64">
        <v>0</v>
      </c>
      <c r="AS75" s="64">
        <v>0</v>
      </c>
      <c r="AT75" s="64">
        <v>0</v>
      </c>
      <c r="AU75" s="64">
        <v>0</v>
      </c>
      <c r="AV75" s="64">
        <v>0</v>
      </c>
      <c r="AW75" s="64">
        <v>0</v>
      </c>
      <c r="AX75" s="64">
        <v>37605.814944444413</v>
      </c>
      <c r="AY75" s="64">
        <v>0</v>
      </c>
      <c r="AZ75" s="64">
        <v>69289.769371319489</v>
      </c>
      <c r="BA75" s="64">
        <v>0</v>
      </c>
      <c r="BB75" s="64">
        <v>0</v>
      </c>
      <c r="BC75" s="64">
        <v>0</v>
      </c>
      <c r="BD75" s="64">
        <v>0</v>
      </c>
      <c r="BE75" s="64">
        <v>159662.24</v>
      </c>
      <c r="BF75" s="64"/>
      <c r="BG75" s="64">
        <v>5413.9696000000004</v>
      </c>
      <c r="BH75" s="64"/>
      <c r="BI75" s="134">
        <v>0</v>
      </c>
      <c r="BJ75" s="64"/>
      <c r="BK75" s="64"/>
      <c r="BL75" s="142">
        <v>901470.07</v>
      </c>
      <c r="BM75" s="64">
        <v>202049.26931576402</v>
      </c>
      <c r="BN75" s="64">
        <v>165076.20560000002</v>
      </c>
      <c r="BO75" s="64">
        <v>138958.78671104033</v>
      </c>
      <c r="BP75" s="64">
        <v>1268595.5449157639</v>
      </c>
      <c r="BQ75" s="64">
        <v>1268595.5449157641</v>
      </c>
      <c r="BR75" s="64">
        <v>0</v>
      </c>
      <c r="BS75" s="64">
        <v>1103519.3393157639</v>
      </c>
      <c r="BT75" s="64">
        <v>5229.9494754301604</v>
      </c>
      <c r="BU75" s="64">
        <v>5125.3359388625595</v>
      </c>
      <c r="BV75" s="148">
        <v>2.0411059453561847E-2</v>
      </c>
      <c r="BW75" s="148">
        <v>0</v>
      </c>
      <c r="BX75" s="64">
        <v>0</v>
      </c>
      <c r="BY75" s="219">
        <v>1268595.5449157639</v>
      </c>
      <c r="BZ75" s="64">
        <v>270.08</v>
      </c>
      <c r="CA75" s="64">
        <v>2325.2199999999998</v>
      </c>
      <c r="CB75" s="188">
        <v>1266000.2449157638</v>
      </c>
      <c r="CC75" s="2"/>
      <c r="CD75" s="212">
        <f>IFERROR(VLOOKUP(B75,#REF!,29,0),0)</f>
        <v>0</v>
      </c>
      <c r="CE75" s="193">
        <f>IFERROR(VLOOKUP(B75,#REF!,28,0),0)</f>
        <v>0</v>
      </c>
      <c r="CF75" s="142"/>
      <c r="CG75" s="194"/>
      <c r="CH75" s="229">
        <v>0</v>
      </c>
      <c r="CI75" s="229">
        <v>0</v>
      </c>
      <c r="CJ75" s="226">
        <v>39200</v>
      </c>
      <c r="CL75" s="401">
        <v>38480</v>
      </c>
      <c r="CM75" s="402">
        <v>1675</v>
      </c>
      <c r="CN75" s="402">
        <v>12650</v>
      </c>
      <c r="CO75" s="402">
        <v>7417</v>
      </c>
      <c r="CP75" s="402">
        <v>13466.25</v>
      </c>
      <c r="CQ75" s="402">
        <v>39052.125</v>
      </c>
      <c r="CR75" s="402">
        <v>37500.300000000003</v>
      </c>
      <c r="CS75" s="402">
        <v>0</v>
      </c>
      <c r="CT75" s="206"/>
      <c r="CU75" s="195"/>
      <c r="CV75" s="2"/>
    </row>
    <row r="76" spans="1:100" ht="14" hidden="1" x14ac:dyDescent="0.25">
      <c r="A76" s="32">
        <v>3123306</v>
      </c>
      <c r="B76" s="184">
        <v>3306</v>
      </c>
      <c r="C76" s="179" t="s">
        <v>285</v>
      </c>
      <c r="D76" s="124">
        <v>384</v>
      </c>
      <c r="E76" s="124">
        <v>384</v>
      </c>
      <c r="F76" s="124">
        <v>0</v>
      </c>
      <c r="G76" s="124">
        <v>0</v>
      </c>
      <c r="H76" s="124">
        <v>0</v>
      </c>
      <c r="I76" s="124">
        <f t="shared" si="44"/>
        <v>97.999999999999858</v>
      </c>
      <c r="J76" s="124">
        <f t="shared" si="45"/>
        <v>0</v>
      </c>
      <c r="K76" s="124">
        <f t="shared" si="46"/>
        <v>99</v>
      </c>
      <c r="L76" s="124">
        <f t="shared" si="47"/>
        <v>0</v>
      </c>
      <c r="M76" s="124">
        <f t="shared" si="48"/>
        <v>84.21932114882496</v>
      </c>
      <c r="N76" s="124">
        <f t="shared" si="49"/>
        <v>176.4595300261098</v>
      </c>
      <c r="O76" s="124">
        <f t="shared" si="50"/>
        <v>58.151436031331713</v>
      </c>
      <c r="P76" s="124">
        <f t="shared" si="51"/>
        <v>16.04177545691908</v>
      </c>
      <c r="Q76" s="124">
        <f t="shared" si="52"/>
        <v>0</v>
      </c>
      <c r="R76" s="124">
        <f t="shared" si="53"/>
        <v>0</v>
      </c>
      <c r="S76" s="124">
        <f t="shared" si="54"/>
        <v>0</v>
      </c>
      <c r="T76" s="124">
        <f t="shared" si="55"/>
        <v>0</v>
      </c>
      <c r="U76" s="124">
        <f t="shared" si="56"/>
        <v>0</v>
      </c>
      <c r="V76" s="124">
        <f t="shared" si="57"/>
        <v>0</v>
      </c>
      <c r="W76" s="124">
        <f t="shared" si="58"/>
        <v>0</v>
      </c>
      <c r="X76" s="124">
        <f t="shared" si="59"/>
        <v>0</v>
      </c>
      <c r="Y76" s="124">
        <f t="shared" si="60"/>
        <v>121.57993730407527</v>
      </c>
      <c r="Z76" s="124">
        <f t="shared" si="61"/>
        <v>0</v>
      </c>
      <c r="AA76" s="124">
        <f t="shared" si="62"/>
        <v>172.35214044122179</v>
      </c>
      <c r="AB76" s="124">
        <f t="shared" si="63"/>
        <v>0</v>
      </c>
      <c r="AC76" s="124">
        <f t="shared" si="64"/>
        <v>24.96</v>
      </c>
      <c r="AD76" s="124">
        <f t="shared" si="65"/>
        <v>0</v>
      </c>
      <c r="AE76" s="127">
        <v>1640590.08</v>
      </c>
      <c r="AF76" s="63">
        <v>0</v>
      </c>
      <c r="AG76" s="130">
        <v>0</v>
      </c>
      <c r="AH76" s="130">
        <v>53378.639999999919</v>
      </c>
      <c r="AI76" s="130">
        <v>0</v>
      </c>
      <c r="AJ76" s="130">
        <v>115471.7784</v>
      </c>
      <c r="AK76" s="130">
        <v>0</v>
      </c>
      <c r="AL76" s="130">
        <v>21777.819471540446</v>
      </c>
      <c r="AM76" s="130">
        <v>55338.167410966103</v>
      </c>
      <c r="AN76" s="134">
        <v>28474.443797389093</v>
      </c>
      <c r="AO76" s="64">
        <v>8649.3467404699841</v>
      </c>
      <c r="AP76" s="64">
        <v>0</v>
      </c>
      <c r="AQ76" s="64">
        <v>0</v>
      </c>
      <c r="AR76" s="64">
        <v>0</v>
      </c>
      <c r="AS76" s="64">
        <v>0</v>
      </c>
      <c r="AT76" s="64">
        <v>0</v>
      </c>
      <c r="AU76" s="64">
        <v>0</v>
      </c>
      <c r="AV76" s="64">
        <v>0</v>
      </c>
      <c r="AW76" s="64">
        <v>0</v>
      </c>
      <c r="AX76" s="64">
        <v>79599.600752351122</v>
      </c>
      <c r="AY76" s="64">
        <v>0</v>
      </c>
      <c r="AZ76" s="64">
        <v>222837.52941926449</v>
      </c>
      <c r="BA76" s="64">
        <v>0</v>
      </c>
      <c r="BB76" s="64">
        <v>26503.775999999998</v>
      </c>
      <c r="BC76" s="64">
        <v>0</v>
      </c>
      <c r="BD76" s="64">
        <v>0</v>
      </c>
      <c r="BE76" s="64"/>
      <c r="BF76" s="64">
        <v>159662.24</v>
      </c>
      <c r="BG76" s="64">
        <v>6279.52</v>
      </c>
      <c r="BH76" s="64"/>
      <c r="BI76" s="134">
        <v>0</v>
      </c>
      <c r="BJ76" s="64"/>
      <c r="BK76" s="64"/>
      <c r="BL76" s="142">
        <v>1640590.08</v>
      </c>
      <c r="BM76" s="64">
        <v>612031.10199198104</v>
      </c>
      <c r="BN76" s="64">
        <v>165941.75599999999</v>
      </c>
      <c r="BO76" s="64">
        <v>382576.90306527319</v>
      </c>
      <c r="BP76" s="64">
        <v>2418562.9379919814</v>
      </c>
      <c r="BQ76" s="64">
        <v>2418562.9379919809</v>
      </c>
      <c r="BR76" s="64">
        <v>0</v>
      </c>
      <c r="BS76" s="64">
        <v>2252621.1819919813</v>
      </c>
      <c r="BT76" s="64">
        <v>5866.2009947707847</v>
      </c>
      <c r="BU76" s="64">
        <v>5714.1634577319592</v>
      </c>
      <c r="BV76" s="148">
        <v>2.660713823877409E-2</v>
      </c>
      <c r="BW76" s="148">
        <v>0</v>
      </c>
      <c r="BX76" s="64">
        <v>0</v>
      </c>
      <c r="BY76" s="219">
        <v>2418562.9379919814</v>
      </c>
      <c r="BZ76" s="64">
        <v>0</v>
      </c>
      <c r="CA76" s="64">
        <v>0</v>
      </c>
      <c r="CB76" s="188">
        <v>2418562.9379919814</v>
      </c>
      <c r="CC76" s="2"/>
      <c r="CD76" s="212">
        <f>IFERROR(VLOOKUP(B76,#REF!,29,0),0)</f>
        <v>0</v>
      </c>
      <c r="CE76" s="193">
        <f>IFERROR(VLOOKUP(B76,#REF!,28,0),0)</f>
        <v>0</v>
      </c>
      <c r="CF76" s="142"/>
      <c r="CG76" s="194"/>
      <c r="CH76" s="229">
        <v>0</v>
      </c>
      <c r="CI76" s="229">
        <v>0</v>
      </c>
      <c r="CJ76" s="226">
        <v>91387</v>
      </c>
      <c r="CL76" s="401">
        <v>0</v>
      </c>
      <c r="CM76" s="402">
        <v>0</v>
      </c>
      <c r="CN76" s="402">
        <v>0</v>
      </c>
      <c r="CO76" s="402">
        <v>0</v>
      </c>
      <c r="CP76" s="402">
        <v>21802.5</v>
      </c>
      <c r="CQ76" s="402">
        <v>63227.25</v>
      </c>
      <c r="CR76" s="402">
        <v>0</v>
      </c>
      <c r="CS76" s="402">
        <v>0</v>
      </c>
      <c r="CT76" s="206"/>
      <c r="CU76" s="195"/>
      <c r="CV76" s="2"/>
    </row>
    <row r="77" spans="1:100" ht="14" x14ac:dyDescent="0.25">
      <c r="A77" s="32">
        <v>3123400</v>
      </c>
      <c r="B77" s="184">
        <v>3400</v>
      </c>
      <c r="C77" s="179" t="s">
        <v>163</v>
      </c>
      <c r="D77" s="124">
        <v>204</v>
      </c>
      <c r="E77" s="124">
        <v>204</v>
      </c>
      <c r="F77" s="124">
        <v>0</v>
      </c>
      <c r="G77" s="124">
        <v>0</v>
      </c>
      <c r="H77" s="124">
        <v>0</v>
      </c>
      <c r="I77" s="124">
        <f t="shared" si="44"/>
        <v>8.9999999999999929</v>
      </c>
      <c r="J77" s="124">
        <f t="shared" si="45"/>
        <v>0</v>
      </c>
      <c r="K77" s="124">
        <f t="shared" si="46"/>
        <v>8.9999999999999929</v>
      </c>
      <c r="L77" s="124">
        <f t="shared" si="47"/>
        <v>0</v>
      </c>
      <c r="M77" s="124">
        <f t="shared" si="48"/>
        <v>33.000000000000014</v>
      </c>
      <c r="N77" s="124">
        <f t="shared" si="49"/>
        <v>4.9999999999999947</v>
      </c>
      <c r="O77" s="124">
        <f t="shared" si="50"/>
        <v>0</v>
      </c>
      <c r="P77" s="124">
        <f t="shared" si="51"/>
        <v>1.0000000000000009</v>
      </c>
      <c r="Q77" s="124">
        <f t="shared" si="52"/>
        <v>0</v>
      </c>
      <c r="R77" s="124">
        <f t="shared" si="53"/>
        <v>0</v>
      </c>
      <c r="S77" s="124">
        <f t="shared" si="54"/>
        <v>0</v>
      </c>
      <c r="T77" s="124">
        <f t="shared" si="55"/>
        <v>0</v>
      </c>
      <c r="U77" s="124">
        <f t="shared" si="56"/>
        <v>0</v>
      </c>
      <c r="V77" s="124">
        <f t="shared" si="57"/>
        <v>0</v>
      </c>
      <c r="W77" s="124">
        <f t="shared" si="58"/>
        <v>0</v>
      </c>
      <c r="X77" s="124">
        <f t="shared" si="59"/>
        <v>0</v>
      </c>
      <c r="Y77" s="124">
        <f t="shared" si="60"/>
        <v>29.631284916201185</v>
      </c>
      <c r="Z77" s="124">
        <f t="shared" si="61"/>
        <v>0</v>
      </c>
      <c r="AA77" s="124">
        <f t="shared" si="62"/>
        <v>43.128178889073645</v>
      </c>
      <c r="AB77" s="124">
        <f t="shared" si="63"/>
        <v>0</v>
      </c>
      <c r="AC77" s="124">
        <f t="shared" si="64"/>
        <v>0</v>
      </c>
      <c r="AD77" s="124">
        <f t="shared" si="65"/>
        <v>0</v>
      </c>
      <c r="AE77" s="127">
        <v>871563.48</v>
      </c>
      <c r="AF77" s="63">
        <v>0</v>
      </c>
      <c r="AG77" s="130">
        <v>0</v>
      </c>
      <c r="AH77" s="130">
        <v>4902.1199999999953</v>
      </c>
      <c r="AI77" s="130">
        <v>0</v>
      </c>
      <c r="AJ77" s="130">
        <v>10497.434399999991</v>
      </c>
      <c r="AK77" s="130">
        <v>0</v>
      </c>
      <c r="AL77" s="130">
        <v>8533.2918000000045</v>
      </c>
      <c r="AM77" s="130">
        <v>1568.0129999999983</v>
      </c>
      <c r="AN77" s="134">
        <v>0</v>
      </c>
      <c r="AO77" s="64">
        <v>539.1764000000004</v>
      </c>
      <c r="AP77" s="64">
        <v>0</v>
      </c>
      <c r="AQ77" s="64">
        <v>0</v>
      </c>
      <c r="AR77" s="64">
        <v>0</v>
      </c>
      <c r="AS77" s="64">
        <v>0</v>
      </c>
      <c r="AT77" s="64">
        <v>0</v>
      </c>
      <c r="AU77" s="64">
        <v>0</v>
      </c>
      <c r="AV77" s="64">
        <v>0</v>
      </c>
      <c r="AW77" s="64">
        <v>0</v>
      </c>
      <c r="AX77" s="64">
        <v>19399.898547486078</v>
      </c>
      <c r="AY77" s="64">
        <v>0</v>
      </c>
      <c r="AZ77" s="64">
        <v>55761.285049261096</v>
      </c>
      <c r="BA77" s="64">
        <v>0</v>
      </c>
      <c r="BB77" s="64">
        <v>0</v>
      </c>
      <c r="BC77" s="64">
        <v>0</v>
      </c>
      <c r="BD77" s="64">
        <v>0</v>
      </c>
      <c r="BE77" s="64">
        <v>159662.24</v>
      </c>
      <c r="BF77" s="64"/>
      <c r="BG77" s="64">
        <v>4328.0847999999996</v>
      </c>
      <c r="BH77" s="64"/>
      <c r="BI77" s="134">
        <v>0</v>
      </c>
      <c r="BJ77" s="64"/>
      <c r="BK77" s="64"/>
      <c r="BL77" s="142">
        <v>871563.48</v>
      </c>
      <c r="BM77" s="64">
        <v>101201.21919674717</v>
      </c>
      <c r="BN77" s="64">
        <v>163990.32080000002</v>
      </c>
      <c r="BO77" s="64">
        <v>99211.457978305407</v>
      </c>
      <c r="BP77" s="64">
        <v>1136755.0199967471</v>
      </c>
      <c r="BQ77" s="64">
        <v>1136755.0199967471</v>
      </c>
      <c r="BR77" s="64">
        <v>0</v>
      </c>
      <c r="BS77" s="64">
        <v>972764.69919674715</v>
      </c>
      <c r="BT77" s="64">
        <v>4768.454407827192</v>
      </c>
      <c r="BU77" s="64">
        <v>4718.1332628571417</v>
      </c>
      <c r="BV77" s="148">
        <v>1.0665477672323618E-2</v>
      </c>
      <c r="BW77" s="148">
        <v>0</v>
      </c>
      <c r="BX77" s="64">
        <v>0</v>
      </c>
      <c r="BY77" s="219">
        <v>1136755.0199967471</v>
      </c>
      <c r="BZ77" s="64">
        <v>261.12</v>
      </c>
      <c r="CA77" s="64">
        <v>2248.08</v>
      </c>
      <c r="CB77" s="188">
        <v>1134245.8199967472</v>
      </c>
      <c r="CC77" s="2"/>
      <c r="CD77" s="212">
        <f>IFERROR(VLOOKUP(B77,#REF!,29,0),0)</f>
        <v>0</v>
      </c>
      <c r="CE77" s="193">
        <f>IFERROR(VLOOKUP(B77,#REF!,28,0),0)</f>
        <v>0</v>
      </c>
      <c r="CF77" s="142"/>
      <c r="CG77" s="194"/>
      <c r="CH77" s="229">
        <v>0</v>
      </c>
      <c r="CI77" s="229">
        <v>0</v>
      </c>
      <c r="CJ77" s="226">
        <v>43800</v>
      </c>
      <c r="CL77" s="401">
        <v>11840</v>
      </c>
      <c r="CM77" s="402">
        <v>335</v>
      </c>
      <c r="CN77" s="402" t="s">
        <v>266</v>
      </c>
      <c r="CO77" s="402">
        <v>7408</v>
      </c>
      <c r="CP77" s="402">
        <v>14620.5</v>
      </c>
      <c r="CQ77" s="402">
        <v>42399.45</v>
      </c>
      <c r="CR77" s="402">
        <v>36765</v>
      </c>
      <c r="CS77" s="402">
        <v>0</v>
      </c>
      <c r="CT77" s="206"/>
      <c r="CU77" s="195"/>
      <c r="CV77" s="2"/>
    </row>
    <row r="78" spans="1:100" ht="14" hidden="1" x14ac:dyDescent="0.25">
      <c r="A78" s="32">
        <v>3125410</v>
      </c>
      <c r="B78" s="184">
        <v>5410</v>
      </c>
      <c r="C78" s="179" t="s">
        <v>286</v>
      </c>
      <c r="D78" s="124">
        <v>1166</v>
      </c>
      <c r="E78" s="124">
        <v>0</v>
      </c>
      <c r="F78" s="124">
        <v>1166</v>
      </c>
      <c r="G78" s="124">
        <v>714</v>
      </c>
      <c r="H78" s="124">
        <v>452</v>
      </c>
      <c r="I78" s="124">
        <f t="shared" si="44"/>
        <v>0</v>
      </c>
      <c r="J78" s="124">
        <f t="shared" si="45"/>
        <v>286.00000000000057</v>
      </c>
      <c r="K78" s="124">
        <f t="shared" si="46"/>
        <v>0</v>
      </c>
      <c r="L78" s="124">
        <f t="shared" si="47"/>
        <v>315.99999999999955</v>
      </c>
      <c r="M78" s="124">
        <f t="shared" si="48"/>
        <v>0</v>
      </c>
      <c r="N78" s="124">
        <f t="shared" si="49"/>
        <v>0</v>
      </c>
      <c r="O78" s="124">
        <f t="shared" si="50"/>
        <v>0</v>
      </c>
      <c r="P78" s="124">
        <f t="shared" si="51"/>
        <v>0</v>
      </c>
      <c r="Q78" s="124">
        <f t="shared" si="52"/>
        <v>0</v>
      </c>
      <c r="R78" s="124">
        <f t="shared" si="53"/>
        <v>0</v>
      </c>
      <c r="S78" s="124">
        <f t="shared" si="54"/>
        <v>255.21888412017188</v>
      </c>
      <c r="T78" s="124">
        <f t="shared" si="55"/>
        <v>278.23862660944201</v>
      </c>
      <c r="U78" s="124">
        <f t="shared" si="56"/>
        <v>46.039484978540735</v>
      </c>
      <c r="V78" s="124">
        <f t="shared" si="57"/>
        <v>13.01115879828326</v>
      </c>
      <c r="W78" s="124">
        <f t="shared" si="58"/>
        <v>4.0034334763948554</v>
      </c>
      <c r="X78" s="124">
        <f t="shared" si="59"/>
        <v>0</v>
      </c>
      <c r="Y78" s="124">
        <f t="shared" si="60"/>
        <v>0</v>
      </c>
      <c r="Z78" s="124">
        <f t="shared" si="61"/>
        <v>30.000071792008253</v>
      </c>
      <c r="AA78" s="124">
        <f t="shared" si="62"/>
        <v>0</v>
      </c>
      <c r="AB78" s="124">
        <f t="shared" si="63"/>
        <v>165.4664696067675</v>
      </c>
      <c r="AC78" s="124">
        <f t="shared" si="64"/>
        <v>0</v>
      </c>
      <c r="AD78" s="124">
        <f t="shared" si="65"/>
        <v>0</v>
      </c>
      <c r="AE78" s="127">
        <v>0</v>
      </c>
      <c r="AF78" s="63">
        <v>4174044</v>
      </c>
      <c r="AG78" s="130">
        <v>2978680</v>
      </c>
      <c r="AH78" s="130">
        <v>0</v>
      </c>
      <c r="AI78" s="130">
        <v>155778.4800000003</v>
      </c>
      <c r="AJ78" s="130">
        <v>0</v>
      </c>
      <c r="AK78" s="130">
        <v>540694.89679999917</v>
      </c>
      <c r="AL78" s="130">
        <v>0</v>
      </c>
      <c r="AM78" s="130">
        <v>0</v>
      </c>
      <c r="AN78" s="134">
        <v>0</v>
      </c>
      <c r="AO78" s="64">
        <v>0</v>
      </c>
      <c r="AP78" s="64">
        <v>0</v>
      </c>
      <c r="AQ78" s="64">
        <v>0</v>
      </c>
      <c r="AR78" s="64">
        <v>95483.101452360599</v>
      </c>
      <c r="AS78" s="64">
        <v>137773.1948291845</v>
      </c>
      <c r="AT78" s="64">
        <v>32169.104883776799</v>
      </c>
      <c r="AU78" s="64">
        <v>9950.2862932188818</v>
      </c>
      <c r="AV78" s="64">
        <v>3281.887454763953</v>
      </c>
      <c r="AW78" s="64">
        <v>0</v>
      </c>
      <c r="AX78" s="64">
        <v>0</v>
      </c>
      <c r="AY78" s="64">
        <v>52652.225999999922</v>
      </c>
      <c r="AZ78" s="64">
        <v>0</v>
      </c>
      <c r="BA78" s="64">
        <v>324999.31161343632</v>
      </c>
      <c r="BB78" s="64">
        <v>0</v>
      </c>
      <c r="BC78" s="64">
        <v>0</v>
      </c>
      <c r="BD78" s="64">
        <v>0</v>
      </c>
      <c r="BE78" s="64"/>
      <c r="BF78" s="64">
        <v>159662.24</v>
      </c>
      <c r="BG78" s="64">
        <v>56016.480000000003</v>
      </c>
      <c r="BH78" s="64"/>
      <c r="BI78" s="134">
        <v>0</v>
      </c>
      <c r="BJ78" s="64"/>
      <c r="BK78" s="64"/>
      <c r="BL78" s="142">
        <v>7152724</v>
      </c>
      <c r="BM78" s="64">
        <v>1352782.4893267406</v>
      </c>
      <c r="BN78" s="64">
        <v>215678.71600000001</v>
      </c>
      <c r="BO78" s="64">
        <v>708896.53056540678</v>
      </c>
      <c r="BP78" s="64">
        <v>8721185.2053267416</v>
      </c>
      <c r="BQ78" s="64">
        <v>0</v>
      </c>
      <c r="BR78" s="64">
        <v>8721185.2053267416</v>
      </c>
      <c r="BS78" s="64">
        <v>8505506.4893267415</v>
      </c>
      <c r="BT78" s="64">
        <v>7294.6024779817681</v>
      </c>
      <c r="BU78" s="64">
        <v>7200.8253905172414</v>
      </c>
      <c r="BV78" s="148">
        <v>1.3023102544330761E-2</v>
      </c>
      <c r="BW78" s="148">
        <v>0</v>
      </c>
      <c r="BX78" s="64">
        <v>0</v>
      </c>
      <c r="BY78" s="219">
        <v>8721185.2053267416</v>
      </c>
      <c r="BZ78" s="64">
        <v>0</v>
      </c>
      <c r="CA78" s="64">
        <v>0</v>
      </c>
      <c r="CB78" s="188">
        <v>8721185.2053267416</v>
      </c>
      <c r="CC78" s="2"/>
      <c r="CD78" s="212">
        <f>IFERROR(VLOOKUP(B78,#REF!,29,0),0)</f>
        <v>0</v>
      </c>
      <c r="CE78" s="193">
        <f>IFERROR(VLOOKUP(B78,#REF!,28,0),0)</f>
        <v>0</v>
      </c>
      <c r="CF78" s="142"/>
      <c r="CG78" s="194"/>
      <c r="CH78" s="229">
        <v>0</v>
      </c>
      <c r="CI78" s="229">
        <v>0</v>
      </c>
      <c r="CJ78" s="226">
        <v>127800</v>
      </c>
      <c r="CL78" s="401">
        <v>0</v>
      </c>
      <c r="CM78" s="402">
        <v>0</v>
      </c>
      <c r="CN78" s="402">
        <v>0</v>
      </c>
      <c r="CO78" s="402">
        <v>0</v>
      </c>
      <c r="CP78" s="402">
        <v>0</v>
      </c>
      <c r="CQ78" s="402">
        <v>0</v>
      </c>
      <c r="CR78" s="402">
        <v>0</v>
      </c>
      <c r="CS78" s="402">
        <v>0</v>
      </c>
      <c r="CT78" s="206"/>
      <c r="CU78" s="195"/>
      <c r="CV78" s="2"/>
    </row>
    <row r="79" spans="1:100" ht="14" x14ac:dyDescent="0.25">
      <c r="A79" s="32">
        <v>3122004</v>
      </c>
      <c r="B79" s="184">
        <v>2004</v>
      </c>
      <c r="C79" s="179" t="s">
        <v>287</v>
      </c>
      <c r="D79" s="124">
        <v>609</v>
      </c>
      <c r="E79" s="124">
        <v>609</v>
      </c>
      <c r="F79" s="124">
        <v>0</v>
      </c>
      <c r="G79" s="124">
        <v>0</v>
      </c>
      <c r="H79" s="124">
        <v>0</v>
      </c>
      <c r="I79" s="124">
        <f t="shared" si="44"/>
        <v>39.999999999999986</v>
      </c>
      <c r="J79" s="124">
        <f t="shared" si="45"/>
        <v>0</v>
      </c>
      <c r="K79" s="124">
        <f t="shared" si="46"/>
        <v>39.999999999999986</v>
      </c>
      <c r="L79" s="124">
        <f t="shared" si="47"/>
        <v>0</v>
      </c>
      <c r="M79" s="124">
        <f t="shared" si="48"/>
        <v>22.999999999999972</v>
      </c>
      <c r="N79" s="124">
        <f t="shared" si="49"/>
        <v>8.9999999999999947</v>
      </c>
      <c r="O79" s="124">
        <f t="shared" si="50"/>
        <v>1.0000000000000027</v>
      </c>
      <c r="P79" s="124">
        <f t="shared" si="51"/>
        <v>0</v>
      </c>
      <c r="Q79" s="124">
        <f t="shared" si="52"/>
        <v>0</v>
      </c>
      <c r="R79" s="124">
        <f t="shared" si="53"/>
        <v>0</v>
      </c>
      <c r="S79" s="124">
        <f t="shared" si="54"/>
        <v>0</v>
      </c>
      <c r="T79" s="124">
        <f t="shared" si="55"/>
        <v>0</v>
      </c>
      <c r="U79" s="124">
        <f t="shared" si="56"/>
        <v>0</v>
      </c>
      <c r="V79" s="124">
        <f t="shared" si="57"/>
        <v>0</v>
      </c>
      <c r="W79" s="124">
        <f t="shared" si="58"/>
        <v>0</v>
      </c>
      <c r="X79" s="124">
        <f t="shared" si="59"/>
        <v>0</v>
      </c>
      <c r="Y79" s="124">
        <f t="shared" si="60"/>
        <v>92.447817836812405</v>
      </c>
      <c r="Z79" s="124">
        <f t="shared" si="61"/>
        <v>0</v>
      </c>
      <c r="AA79" s="124">
        <f t="shared" si="62"/>
        <v>138.23012859028341</v>
      </c>
      <c r="AB79" s="124">
        <f t="shared" si="63"/>
        <v>0</v>
      </c>
      <c r="AC79" s="124">
        <f t="shared" si="64"/>
        <v>0</v>
      </c>
      <c r="AD79" s="124">
        <f t="shared" si="65"/>
        <v>0</v>
      </c>
      <c r="AE79" s="127">
        <v>2601873.33</v>
      </c>
      <c r="AF79" s="63">
        <v>0</v>
      </c>
      <c r="AG79" s="130">
        <v>0</v>
      </c>
      <c r="AH79" s="130">
        <v>21787.19999999999</v>
      </c>
      <c r="AI79" s="130">
        <v>0</v>
      </c>
      <c r="AJ79" s="130">
        <v>46655.263999999981</v>
      </c>
      <c r="AK79" s="130">
        <v>0</v>
      </c>
      <c r="AL79" s="130">
        <v>5947.4457999999931</v>
      </c>
      <c r="AM79" s="130">
        <v>2822.4233999999983</v>
      </c>
      <c r="AN79" s="134">
        <v>489.66020000000128</v>
      </c>
      <c r="AO79" s="64">
        <v>0</v>
      </c>
      <c r="AP79" s="64">
        <v>0</v>
      </c>
      <c r="AQ79" s="64">
        <v>0</v>
      </c>
      <c r="AR79" s="64">
        <v>0</v>
      </c>
      <c r="AS79" s="64">
        <v>0</v>
      </c>
      <c r="AT79" s="64">
        <v>0</v>
      </c>
      <c r="AU79" s="64">
        <v>0</v>
      </c>
      <c r="AV79" s="64">
        <v>0</v>
      </c>
      <c r="AW79" s="64">
        <v>0</v>
      </c>
      <c r="AX79" s="64">
        <v>60526.510815939451</v>
      </c>
      <c r="AY79" s="64">
        <v>0</v>
      </c>
      <c r="AZ79" s="64">
        <v>178720.49785694925</v>
      </c>
      <c r="BA79" s="64">
        <v>0</v>
      </c>
      <c r="BB79" s="64">
        <v>0</v>
      </c>
      <c r="BC79" s="64">
        <v>0</v>
      </c>
      <c r="BD79" s="64">
        <v>0</v>
      </c>
      <c r="BE79" s="64">
        <v>159662.24</v>
      </c>
      <c r="BF79" s="64"/>
      <c r="BG79" s="64">
        <v>57981.82</v>
      </c>
      <c r="BH79" s="64"/>
      <c r="BI79" s="134">
        <v>0</v>
      </c>
      <c r="BJ79" s="64"/>
      <c r="BK79" s="64"/>
      <c r="BL79" s="142">
        <v>2601873.33</v>
      </c>
      <c r="BM79" s="64">
        <v>316949.00207288866</v>
      </c>
      <c r="BN79" s="64">
        <v>217644.05600000001</v>
      </c>
      <c r="BO79" s="64">
        <v>292733.86762753228</v>
      </c>
      <c r="BP79" s="64">
        <v>3136466.3880728884</v>
      </c>
      <c r="BQ79" s="64">
        <v>3136466.3880728888</v>
      </c>
      <c r="BR79" s="64">
        <v>0</v>
      </c>
      <c r="BS79" s="64">
        <v>2918822.3320728885</v>
      </c>
      <c r="BT79" s="64">
        <v>4792.8117111213278</v>
      </c>
      <c r="BU79" s="64">
        <v>4751.1276581666662</v>
      </c>
      <c r="BV79" s="148">
        <v>8.7735072500128124E-3</v>
      </c>
      <c r="BW79" s="148">
        <v>0</v>
      </c>
      <c r="BX79" s="64">
        <v>0</v>
      </c>
      <c r="BY79" s="219">
        <v>3136466.3880728884</v>
      </c>
      <c r="BZ79" s="64">
        <v>779.52</v>
      </c>
      <c r="CA79" s="64">
        <v>6711.1799999999994</v>
      </c>
      <c r="CB79" s="188">
        <v>3128975.6880728882</v>
      </c>
      <c r="CC79" s="2"/>
      <c r="CD79" s="212">
        <f>IFERROR(VLOOKUP(B79,#REF!,29,0),0)</f>
        <v>0</v>
      </c>
      <c r="CE79" s="193">
        <f>IFERROR(VLOOKUP(B79,#REF!,28,0),0)</f>
        <v>0</v>
      </c>
      <c r="CF79" s="142"/>
      <c r="CG79" s="194"/>
      <c r="CH79" s="229">
        <v>0</v>
      </c>
      <c r="CI79" s="229">
        <v>0</v>
      </c>
      <c r="CJ79" s="226">
        <v>69000</v>
      </c>
      <c r="CL79" s="401">
        <v>48840</v>
      </c>
      <c r="CM79" s="402">
        <v>5695</v>
      </c>
      <c r="CN79" s="402">
        <v>7590</v>
      </c>
      <c r="CO79" s="402">
        <v>8817</v>
      </c>
      <c r="CP79" s="402">
        <v>41553</v>
      </c>
      <c r="CQ79" s="402">
        <v>120503.70000000001</v>
      </c>
      <c r="CR79" s="402">
        <v>93628.200000000012</v>
      </c>
      <c r="CS79" s="402">
        <v>11274.25</v>
      </c>
      <c r="CT79" s="206"/>
      <c r="CU79" s="195"/>
      <c r="CV79" s="2"/>
    </row>
    <row r="80" spans="1:100" ht="14" hidden="1" x14ac:dyDescent="0.25">
      <c r="A80" s="32">
        <v>3125408</v>
      </c>
      <c r="B80" s="184">
        <v>5408</v>
      </c>
      <c r="C80" s="179" t="s">
        <v>288</v>
      </c>
      <c r="D80" s="124">
        <v>1199</v>
      </c>
      <c r="E80" s="124">
        <v>0</v>
      </c>
      <c r="F80" s="124">
        <v>1199</v>
      </c>
      <c r="G80" s="124">
        <v>721</v>
      </c>
      <c r="H80" s="124">
        <v>478</v>
      </c>
      <c r="I80" s="124">
        <f t="shared" si="44"/>
        <v>0</v>
      </c>
      <c r="J80" s="124">
        <f t="shared" si="45"/>
        <v>219.00000000000003</v>
      </c>
      <c r="K80" s="124">
        <f t="shared" si="46"/>
        <v>0</v>
      </c>
      <c r="L80" s="124">
        <f t="shared" si="47"/>
        <v>234.99999999999983</v>
      </c>
      <c r="M80" s="124">
        <f t="shared" si="48"/>
        <v>0</v>
      </c>
      <c r="N80" s="124">
        <f t="shared" si="49"/>
        <v>0</v>
      </c>
      <c r="O80" s="124">
        <f t="shared" si="50"/>
        <v>0</v>
      </c>
      <c r="P80" s="124">
        <f t="shared" si="51"/>
        <v>0</v>
      </c>
      <c r="Q80" s="124">
        <f t="shared" si="52"/>
        <v>0</v>
      </c>
      <c r="R80" s="124">
        <f t="shared" si="53"/>
        <v>0</v>
      </c>
      <c r="S80" s="124">
        <f t="shared" si="54"/>
        <v>243.99999999999952</v>
      </c>
      <c r="T80" s="124">
        <f t="shared" si="55"/>
        <v>292.99999999999989</v>
      </c>
      <c r="U80" s="124">
        <f t="shared" si="56"/>
        <v>40.999999999999993</v>
      </c>
      <c r="V80" s="124">
        <f t="shared" si="57"/>
        <v>30</v>
      </c>
      <c r="W80" s="124">
        <f t="shared" si="58"/>
        <v>4.9999999999999947</v>
      </c>
      <c r="X80" s="124">
        <f t="shared" si="59"/>
        <v>0</v>
      </c>
      <c r="Y80" s="124">
        <f t="shared" si="60"/>
        <v>0</v>
      </c>
      <c r="Z80" s="124">
        <f t="shared" si="61"/>
        <v>15.177251509965419</v>
      </c>
      <c r="AA80" s="124">
        <f t="shared" si="62"/>
        <v>0</v>
      </c>
      <c r="AB80" s="124">
        <f t="shared" si="63"/>
        <v>220.2923983870933</v>
      </c>
      <c r="AC80" s="124">
        <f t="shared" si="64"/>
        <v>0</v>
      </c>
      <c r="AD80" s="124">
        <f t="shared" si="65"/>
        <v>0</v>
      </c>
      <c r="AE80" s="127">
        <v>0</v>
      </c>
      <c r="AF80" s="63">
        <v>4214966</v>
      </c>
      <c r="AG80" s="130">
        <v>3150020</v>
      </c>
      <c r="AH80" s="130">
        <v>0</v>
      </c>
      <c r="AI80" s="130">
        <v>119284.92</v>
      </c>
      <c r="AJ80" s="130">
        <v>0</v>
      </c>
      <c r="AK80" s="130">
        <v>402099.05299999972</v>
      </c>
      <c r="AL80" s="130">
        <v>0</v>
      </c>
      <c r="AM80" s="130">
        <v>0</v>
      </c>
      <c r="AN80" s="134">
        <v>0</v>
      </c>
      <c r="AO80" s="64">
        <v>0</v>
      </c>
      <c r="AP80" s="64">
        <v>0</v>
      </c>
      <c r="AQ80" s="64">
        <v>0</v>
      </c>
      <c r="AR80" s="64">
        <v>91285.86559999983</v>
      </c>
      <c r="AS80" s="64">
        <v>145082.46599999993</v>
      </c>
      <c r="AT80" s="64">
        <v>28647.872599999995</v>
      </c>
      <c r="AU80" s="64">
        <v>22942.505999999998</v>
      </c>
      <c r="AV80" s="64">
        <v>4098.8409999999958</v>
      </c>
      <c r="AW80" s="64">
        <v>0</v>
      </c>
      <c r="AX80" s="64">
        <v>0</v>
      </c>
      <c r="AY80" s="64">
        <v>26637.138807595009</v>
      </c>
      <c r="AZ80" s="64">
        <v>0</v>
      </c>
      <c r="BA80" s="64">
        <v>432685.11136802548</v>
      </c>
      <c r="BB80" s="64">
        <v>0</v>
      </c>
      <c r="BC80" s="64">
        <v>0</v>
      </c>
      <c r="BD80" s="64">
        <v>0</v>
      </c>
      <c r="BE80" s="64"/>
      <c r="BF80" s="64">
        <v>159662.24</v>
      </c>
      <c r="BG80" s="64">
        <v>34642.400000000001</v>
      </c>
      <c r="BH80" s="64"/>
      <c r="BI80" s="134">
        <v>85507.342131176512</v>
      </c>
      <c r="BJ80" s="64"/>
      <c r="BK80" s="64"/>
      <c r="BL80" s="142">
        <v>7364986</v>
      </c>
      <c r="BM80" s="64">
        <v>1272763.7743756201</v>
      </c>
      <c r="BN80" s="64">
        <v>279811.97813117655</v>
      </c>
      <c r="BO80" s="64">
        <v>758437.45941210038</v>
      </c>
      <c r="BP80" s="64">
        <v>8917561.7525067963</v>
      </c>
      <c r="BQ80" s="64">
        <v>0</v>
      </c>
      <c r="BR80" s="64">
        <v>8917561.7525067963</v>
      </c>
      <c r="BS80" s="64">
        <v>8637749.7743756194</v>
      </c>
      <c r="BT80" s="64">
        <v>7204.1282521898411</v>
      </c>
      <c r="BU80" s="64">
        <v>7114.8278676305217</v>
      </c>
      <c r="BV80" s="148">
        <v>1.2551306401325405E-2</v>
      </c>
      <c r="BW80" s="148">
        <v>0</v>
      </c>
      <c r="BX80" s="64">
        <v>0</v>
      </c>
      <c r="BY80" s="219">
        <v>8917561.7525067963</v>
      </c>
      <c r="BZ80" s="64">
        <v>0</v>
      </c>
      <c r="CA80" s="64">
        <v>0</v>
      </c>
      <c r="CB80" s="188">
        <v>8917561.7525067963</v>
      </c>
      <c r="CC80" s="2"/>
      <c r="CD80" s="212">
        <f>IFERROR(VLOOKUP(B80,#REF!,29,0),0)</f>
        <v>0</v>
      </c>
      <c r="CE80" s="193">
        <f>IFERROR(VLOOKUP(B80,#REF!,28,0),0)</f>
        <v>0</v>
      </c>
      <c r="CF80" s="142"/>
      <c r="CG80" s="194"/>
      <c r="CH80" s="229">
        <v>0</v>
      </c>
      <c r="CI80" s="229">
        <v>0</v>
      </c>
      <c r="CJ80" s="226">
        <v>98900</v>
      </c>
      <c r="CL80" s="401">
        <v>0</v>
      </c>
      <c r="CM80" s="402">
        <v>0</v>
      </c>
      <c r="CN80" s="402">
        <v>0</v>
      </c>
      <c r="CO80" s="402">
        <v>0</v>
      </c>
      <c r="CP80" s="402">
        <v>0</v>
      </c>
      <c r="CQ80" s="402">
        <v>0</v>
      </c>
      <c r="CR80" s="402">
        <v>0</v>
      </c>
      <c r="CS80" s="402">
        <v>0</v>
      </c>
      <c r="CT80" s="206"/>
      <c r="CU80" s="195"/>
      <c r="CV80" s="2"/>
    </row>
    <row r="81" spans="1:100" ht="14" hidden="1" x14ac:dyDescent="0.25">
      <c r="A81" s="32">
        <v>3124024</v>
      </c>
      <c r="B81" s="184">
        <v>4024</v>
      </c>
      <c r="C81" s="179" t="s">
        <v>289</v>
      </c>
      <c r="D81" s="124">
        <v>97</v>
      </c>
      <c r="E81" s="124">
        <v>0</v>
      </c>
      <c r="F81" s="124">
        <v>97</v>
      </c>
      <c r="G81" s="124">
        <v>0</v>
      </c>
      <c r="H81" s="124">
        <v>97</v>
      </c>
      <c r="I81" s="124">
        <f t="shared" si="44"/>
        <v>0</v>
      </c>
      <c r="J81" s="124">
        <f t="shared" si="45"/>
        <v>34.000000000000021</v>
      </c>
      <c r="K81" s="124">
        <f t="shared" si="46"/>
        <v>0</v>
      </c>
      <c r="L81" s="124">
        <f t="shared" si="47"/>
        <v>41</v>
      </c>
      <c r="M81" s="124">
        <f t="shared" si="48"/>
        <v>0</v>
      </c>
      <c r="N81" s="124">
        <f t="shared" si="49"/>
        <v>0</v>
      </c>
      <c r="O81" s="124">
        <f t="shared" si="50"/>
        <v>0</v>
      </c>
      <c r="P81" s="124">
        <f t="shared" si="51"/>
        <v>0</v>
      </c>
      <c r="Q81" s="124">
        <f t="shared" si="52"/>
        <v>0</v>
      </c>
      <c r="R81" s="124">
        <f t="shared" si="53"/>
        <v>0</v>
      </c>
      <c r="S81" s="124">
        <f t="shared" si="54"/>
        <v>15.000000000000004</v>
      </c>
      <c r="T81" s="124">
        <f t="shared" si="55"/>
        <v>21.000000000000021</v>
      </c>
      <c r="U81" s="124">
        <f t="shared" si="56"/>
        <v>6.0000000000000018</v>
      </c>
      <c r="V81" s="124">
        <f t="shared" si="57"/>
        <v>3.0000000000000004</v>
      </c>
      <c r="W81" s="124">
        <f t="shared" si="58"/>
        <v>1.0000000000000036</v>
      </c>
      <c r="X81" s="124">
        <f t="shared" si="59"/>
        <v>0</v>
      </c>
      <c r="Y81" s="124">
        <f t="shared" si="60"/>
        <v>0</v>
      </c>
      <c r="Z81" s="124">
        <f t="shared" si="61"/>
        <v>0</v>
      </c>
      <c r="AA81" s="124">
        <f t="shared" si="62"/>
        <v>0</v>
      </c>
      <c r="AB81" s="124">
        <f t="shared" si="63"/>
        <v>12.905426799999997</v>
      </c>
      <c r="AC81" s="124">
        <f t="shared" si="64"/>
        <v>0</v>
      </c>
      <c r="AD81" s="124">
        <f t="shared" si="65"/>
        <v>0</v>
      </c>
      <c r="AE81" s="127">
        <v>0</v>
      </c>
      <c r="AF81" s="63">
        <v>0</v>
      </c>
      <c r="AG81" s="130">
        <v>639230</v>
      </c>
      <c r="AH81" s="130">
        <v>0</v>
      </c>
      <c r="AI81" s="130">
        <v>18519.12000000001</v>
      </c>
      <c r="AJ81" s="130">
        <v>0</v>
      </c>
      <c r="AK81" s="130">
        <v>70153.451799999995</v>
      </c>
      <c r="AL81" s="130">
        <v>0</v>
      </c>
      <c r="AM81" s="130">
        <v>0</v>
      </c>
      <c r="AN81" s="134">
        <v>0</v>
      </c>
      <c r="AO81" s="64">
        <v>0</v>
      </c>
      <c r="AP81" s="64">
        <v>0</v>
      </c>
      <c r="AQ81" s="64">
        <v>0</v>
      </c>
      <c r="AR81" s="64">
        <v>5611.8360000000021</v>
      </c>
      <c r="AS81" s="64">
        <v>10398.402000000011</v>
      </c>
      <c r="AT81" s="64">
        <v>4192.3716000000013</v>
      </c>
      <c r="AU81" s="64">
        <v>2294.2506000000003</v>
      </c>
      <c r="AV81" s="64">
        <v>819.76820000000293</v>
      </c>
      <c r="AW81" s="64">
        <v>0</v>
      </c>
      <c r="AX81" s="64">
        <v>0</v>
      </c>
      <c r="AY81" s="64">
        <v>0</v>
      </c>
      <c r="AZ81" s="64">
        <v>0</v>
      </c>
      <c r="BA81" s="64">
        <v>25348.064994951998</v>
      </c>
      <c r="BB81" s="64">
        <v>0</v>
      </c>
      <c r="BC81" s="64">
        <v>0</v>
      </c>
      <c r="BD81" s="64">
        <v>0</v>
      </c>
      <c r="BE81" s="64">
        <v>159662.24</v>
      </c>
      <c r="BF81" s="64"/>
      <c r="BG81" s="64">
        <v>33354.879999999997</v>
      </c>
      <c r="BH81" s="64"/>
      <c r="BI81" s="134">
        <v>0</v>
      </c>
      <c r="BJ81" s="64"/>
      <c r="BK81" s="64"/>
      <c r="BL81" s="142">
        <v>639230</v>
      </c>
      <c r="BM81" s="64">
        <v>137337.26519495202</v>
      </c>
      <c r="BN81" s="64">
        <v>193017.11600000001</v>
      </c>
      <c r="BO81" s="64">
        <v>69568.645689911122</v>
      </c>
      <c r="BP81" s="64">
        <v>969584.38119495206</v>
      </c>
      <c r="BQ81" s="64">
        <v>0</v>
      </c>
      <c r="BR81" s="64">
        <v>969584.38119495206</v>
      </c>
      <c r="BS81" s="64">
        <v>776567.26519495202</v>
      </c>
      <c r="BT81" s="64">
        <v>8005.8480947933194</v>
      </c>
      <c r="BU81" s="64">
        <v>8421.9669838709669</v>
      </c>
      <c r="BV81" s="148">
        <v>-4.940875330840918E-2</v>
      </c>
      <c r="BW81" s="148">
        <v>4.940875330840918E-2</v>
      </c>
      <c r="BX81" s="64">
        <v>40363.532240531807</v>
      </c>
      <c r="BY81" s="219">
        <v>1009947.9134354838</v>
      </c>
      <c r="BZ81" s="64">
        <v>0</v>
      </c>
      <c r="CA81" s="64">
        <v>0</v>
      </c>
      <c r="CB81" s="188">
        <v>1009947.9134354838</v>
      </c>
      <c r="CC81" s="2"/>
      <c r="CD81" s="212">
        <f>IFERROR(VLOOKUP(B81,#REF!,29,0),0)</f>
        <v>0</v>
      </c>
      <c r="CE81" s="193">
        <f>IFERROR(VLOOKUP(B81,#REF!,28,0),0)</f>
        <v>0</v>
      </c>
      <c r="CF81" s="142"/>
      <c r="CG81" s="194"/>
      <c r="CH81" s="229">
        <v>0</v>
      </c>
      <c r="CI81" s="229">
        <v>0</v>
      </c>
      <c r="CJ81" s="226">
        <v>0</v>
      </c>
      <c r="CL81" s="401">
        <v>0</v>
      </c>
      <c r="CM81" s="402">
        <v>0</v>
      </c>
      <c r="CN81" s="402">
        <v>0</v>
      </c>
      <c r="CO81" s="402">
        <v>0</v>
      </c>
      <c r="CP81" s="402">
        <v>0</v>
      </c>
      <c r="CQ81" s="402">
        <v>0</v>
      </c>
      <c r="CR81" s="402">
        <v>0</v>
      </c>
      <c r="CS81" s="402">
        <v>0</v>
      </c>
      <c r="CT81" s="206"/>
      <c r="CU81" s="195"/>
      <c r="CV81" s="2"/>
    </row>
    <row r="82" spans="1:100" ht="14" hidden="1" x14ac:dyDescent="0.25">
      <c r="A82" s="32">
        <v>3125404</v>
      </c>
      <c r="B82" s="184">
        <v>5404</v>
      </c>
      <c r="C82" s="179" t="s">
        <v>177</v>
      </c>
      <c r="D82" s="124">
        <v>1153</v>
      </c>
      <c r="E82" s="124">
        <v>0</v>
      </c>
      <c r="F82" s="124">
        <v>1153</v>
      </c>
      <c r="G82" s="124">
        <v>698</v>
      </c>
      <c r="H82" s="124">
        <v>455</v>
      </c>
      <c r="I82" s="124">
        <f t="shared" si="44"/>
        <v>0</v>
      </c>
      <c r="J82" s="124">
        <f t="shared" si="45"/>
        <v>406.99999999999966</v>
      </c>
      <c r="K82" s="124">
        <f t="shared" si="46"/>
        <v>0</v>
      </c>
      <c r="L82" s="124">
        <f t="shared" si="47"/>
        <v>439.99999999999966</v>
      </c>
      <c r="M82" s="124">
        <f t="shared" si="48"/>
        <v>0</v>
      </c>
      <c r="N82" s="124">
        <f t="shared" si="49"/>
        <v>0</v>
      </c>
      <c r="O82" s="124">
        <f t="shared" si="50"/>
        <v>0</v>
      </c>
      <c r="P82" s="124">
        <f t="shared" si="51"/>
        <v>0</v>
      </c>
      <c r="Q82" s="124">
        <f t="shared" si="52"/>
        <v>0</v>
      </c>
      <c r="R82" s="124">
        <f t="shared" si="53"/>
        <v>0</v>
      </c>
      <c r="S82" s="124">
        <f t="shared" si="54"/>
        <v>260.22569444444395</v>
      </c>
      <c r="T82" s="124">
        <f t="shared" si="55"/>
        <v>420.36458333333292</v>
      </c>
      <c r="U82" s="124">
        <f t="shared" si="56"/>
        <v>78.0677083333333</v>
      </c>
      <c r="V82" s="124">
        <f t="shared" si="57"/>
        <v>74.0642361111111</v>
      </c>
      <c r="W82" s="124">
        <f t="shared" si="58"/>
        <v>2.0017361111111098</v>
      </c>
      <c r="X82" s="124">
        <f t="shared" si="59"/>
        <v>0</v>
      </c>
      <c r="Y82" s="124">
        <f t="shared" si="60"/>
        <v>0</v>
      </c>
      <c r="Z82" s="124">
        <f t="shared" si="61"/>
        <v>83.744410931817654</v>
      </c>
      <c r="AA82" s="124">
        <f t="shared" si="62"/>
        <v>0</v>
      </c>
      <c r="AB82" s="124">
        <f t="shared" si="63"/>
        <v>281.62182321875838</v>
      </c>
      <c r="AC82" s="124">
        <f t="shared" si="64"/>
        <v>0</v>
      </c>
      <c r="AD82" s="124">
        <f t="shared" si="65"/>
        <v>0</v>
      </c>
      <c r="AE82" s="127">
        <v>0</v>
      </c>
      <c r="AF82" s="63">
        <v>4080508</v>
      </c>
      <c r="AG82" s="130">
        <v>2998450</v>
      </c>
      <c r="AH82" s="130">
        <v>0</v>
      </c>
      <c r="AI82" s="130">
        <v>221684.75999999981</v>
      </c>
      <c r="AJ82" s="130">
        <v>0</v>
      </c>
      <c r="AK82" s="130">
        <v>752866.31199999945</v>
      </c>
      <c r="AL82" s="130">
        <v>0</v>
      </c>
      <c r="AM82" s="130">
        <v>0</v>
      </c>
      <c r="AN82" s="134">
        <v>0</v>
      </c>
      <c r="AO82" s="64">
        <v>0</v>
      </c>
      <c r="AP82" s="64">
        <v>0</v>
      </c>
      <c r="AQ82" s="64">
        <v>0</v>
      </c>
      <c r="AR82" s="64">
        <v>97356.26134722204</v>
      </c>
      <c r="AS82" s="64">
        <v>208148.56781249979</v>
      </c>
      <c r="AT82" s="64">
        <v>54548.140548958312</v>
      </c>
      <c r="AU82" s="64">
        <v>56640.639378819433</v>
      </c>
      <c r="AV82" s="64">
        <v>1640.9596086805545</v>
      </c>
      <c r="AW82" s="64">
        <v>0</v>
      </c>
      <c r="AX82" s="64">
        <v>0</v>
      </c>
      <c r="AY82" s="64">
        <v>146977.30329410519</v>
      </c>
      <c r="AZ82" s="64">
        <v>0</v>
      </c>
      <c r="BA82" s="64">
        <v>553144.68785689212</v>
      </c>
      <c r="BB82" s="64">
        <v>0</v>
      </c>
      <c r="BC82" s="64">
        <v>0</v>
      </c>
      <c r="BD82" s="64">
        <v>0</v>
      </c>
      <c r="BE82" s="64"/>
      <c r="BF82" s="64">
        <v>159662.24</v>
      </c>
      <c r="BG82" s="64">
        <v>45458.400000000001</v>
      </c>
      <c r="BH82" s="64"/>
      <c r="BI82" s="134">
        <v>0</v>
      </c>
      <c r="BJ82" s="64"/>
      <c r="BK82" s="64"/>
      <c r="BL82" s="142">
        <v>7078958</v>
      </c>
      <c r="BM82" s="64">
        <v>2093007.6318471767</v>
      </c>
      <c r="BN82" s="64">
        <v>205120.636</v>
      </c>
      <c r="BO82" s="64">
        <v>1011626.1263767836</v>
      </c>
      <c r="BP82" s="64">
        <v>9377086.2678471766</v>
      </c>
      <c r="BQ82" s="64">
        <v>0</v>
      </c>
      <c r="BR82" s="64">
        <v>9377086.2678471748</v>
      </c>
      <c r="BS82" s="64">
        <v>9171965.6318471767</v>
      </c>
      <c r="BT82" s="64">
        <v>7954.870452599459</v>
      </c>
      <c r="BU82" s="64">
        <v>7823.2986536206899</v>
      </c>
      <c r="BV82" s="148">
        <v>1.6817944041785556E-2</v>
      </c>
      <c r="BW82" s="148">
        <v>0</v>
      </c>
      <c r="BX82" s="64">
        <v>0</v>
      </c>
      <c r="BY82" s="219">
        <v>9377086.2678471766</v>
      </c>
      <c r="BZ82" s="64">
        <v>0</v>
      </c>
      <c r="CA82" s="64">
        <v>0</v>
      </c>
      <c r="CB82" s="188">
        <v>9377086.2678471766</v>
      </c>
      <c r="CC82" s="2"/>
      <c r="CD82" s="212">
        <f>IFERROR(VLOOKUP(B82,#REF!,29,0),0)</f>
        <v>0</v>
      </c>
      <c r="CE82" s="193">
        <f>IFERROR(VLOOKUP(B82,#REF!,28,0),0)</f>
        <v>0</v>
      </c>
      <c r="CF82" s="142">
        <v>23879.791666666664</v>
      </c>
      <c r="CG82" s="194"/>
      <c r="CH82" s="229">
        <v>0</v>
      </c>
      <c r="CI82" s="229">
        <v>0</v>
      </c>
      <c r="CJ82" s="226">
        <v>286990</v>
      </c>
      <c r="CL82" s="401">
        <v>0</v>
      </c>
      <c r="CM82" s="402">
        <v>0</v>
      </c>
      <c r="CN82" s="402">
        <v>0</v>
      </c>
      <c r="CO82" s="402">
        <v>0</v>
      </c>
      <c r="CP82" s="402">
        <v>0</v>
      </c>
      <c r="CQ82" s="402">
        <v>0</v>
      </c>
      <c r="CR82" s="402">
        <v>0</v>
      </c>
      <c r="CS82" s="402">
        <v>0</v>
      </c>
      <c r="CT82" s="206"/>
      <c r="CU82" s="195"/>
      <c r="CV82" s="2"/>
    </row>
    <row r="83" spans="1:100" ht="14" hidden="1" x14ac:dyDescent="0.25">
      <c r="A83" s="32">
        <v>3125402</v>
      </c>
      <c r="B83" s="184">
        <v>5402</v>
      </c>
      <c r="C83" s="179" t="s">
        <v>178</v>
      </c>
      <c r="D83" s="124">
        <v>1215</v>
      </c>
      <c r="E83" s="124">
        <v>0</v>
      </c>
      <c r="F83" s="124">
        <v>1215</v>
      </c>
      <c r="G83" s="124">
        <v>729</v>
      </c>
      <c r="H83" s="124">
        <v>486</v>
      </c>
      <c r="I83" s="124">
        <f t="shared" si="44"/>
        <v>0</v>
      </c>
      <c r="J83" s="124">
        <f t="shared" si="45"/>
        <v>133.00000000000037</v>
      </c>
      <c r="K83" s="124">
        <f t="shared" si="46"/>
        <v>0</v>
      </c>
      <c r="L83" s="124">
        <f t="shared" si="47"/>
        <v>157.99999999999943</v>
      </c>
      <c r="M83" s="124">
        <f t="shared" si="48"/>
        <v>0</v>
      </c>
      <c r="N83" s="124">
        <f t="shared" si="49"/>
        <v>0</v>
      </c>
      <c r="O83" s="124">
        <f t="shared" si="50"/>
        <v>0</v>
      </c>
      <c r="P83" s="124">
        <f t="shared" si="51"/>
        <v>0</v>
      </c>
      <c r="Q83" s="124">
        <f t="shared" si="52"/>
        <v>0</v>
      </c>
      <c r="R83" s="124">
        <f t="shared" si="53"/>
        <v>0</v>
      </c>
      <c r="S83" s="124">
        <f t="shared" si="54"/>
        <v>118.99999999999997</v>
      </c>
      <c r="T83" s="124">
        <f t="shared" si="55"/>
        <v>41.999999999999993</v>
      </c>
      <c r="U83" s="124">
        <f t="shared" si="56"/>
        <v>8.0000000000000053</v>
      </c>
      <c r="V83" s="124">
        <f t="shared" si="57"/>
        <v>4.0000000000000027</v>
      </c>
      <c r="W83" s="124">
        <f t="shared" si="58"/>
        <v>0</v>
      </c>
      <c r="X83" s="124">
        <f t="shared" si="59"/>
        <v>0</v>
      </c>
      <c r="Y83" s="124">
        <f t="shared" si="60"/>
        <v>0</v>
      </c>
      <c r="Z83" s="124">
        <f t="shared" si="61"/>
        <v>21.00005025440575</v>
      </c>
      <c r="AA83" s="124">
        <f t="shared" si="62"/>
        <v>0</v>
      </c>
      <c r="AB83" s="124">
        <f t="shared" si="63"/>
        <v>184.58849938237481</v>
      </c>
      <c r="AC83" s="124">
        <f t="shared" si="64"/>
        <v>0</v>
      </c>
      <c r="AD83" s="124">
        <f t="shared" si="65"/>
        <v>0</v>
      </c>
      <c r="AE83" s="127">
        <v>0</v>
      </c>
      <c r="AF83" s="63">
        <v>4261734</v>
      </c>
      <c r="AG83" s="130">
        <v>3202740</v>
      </c>
      <c r="AH83" s="130">
        <v>0</v>
      </c>
      <c r="AI83" s="130">
        <v>72442.440000000192</v>
      </c>
      <c r="AJ83" s="130">
        <v>0</v>
      </c>
      <c r="AK83" s="130">
        <v>270347.448399999</v>
      </c>
      <c r="AL83" s="130">
        <v>0</v>
      </c>
      <c r="AM83" s="130">
        <v>0</v>
      </c>
      <c r="AN83" s="134">
        <v>0</v>
      </c>
      <c r="AO83" s="64">
        <v>0</v>
      </c>
      <c r="AP83" s="64">
        <v>0</v>
      </c>
      <c r="AQ83" s="64">
        <v>0</v>
      </c>
      <c r="AR83" s="64">
        <v>44520.565599999994</v>
      </c>
      <c r="AS83" s="64">
        <v>20796.803999999996</v>
      </c>
      <c r="AT83" s="64">
        <v>5589.8288000000039</v>
      </c>
      <c r="AU83" s="64">
        <v>3059.0008000000016</v>
      </c>
      <c r="AV83" s="64">
        <v>0</v>
      </c>
      <c r="AW83" s="64">
        <v>0</v>
      </c>
      <c r="AX83" s="64">
        <v>0</v>
      </c>
      <c r="AY83" s="64">
        <v>36856.558199999898</v>
      </c>
      <c r="AZ83" s="64">
        <v>0</v>
      </c>
      <c r="BA83" s="64">
        <v>362557.65517689765</v>
      </c>
      <c r="BB83" s="64">
        <v>0</v>
      </c>
      <c r="BC83" s="64">
        <v>0</v>
      </c>
      <c r="BD83" s="64">
        <v>0</v>
      </c>
      <c r="BE83" s="64"/>
      <c r="BF83" s="64">
        <v>159662.24</v>
      </c>
      <c r="BG83" s="64">
        <v>34900.32</v>
      </c>
      <c r="BH83" s="64"/>
      <c r="BI83" s="134">
        <v>0</v>
      </c>
      <c r="BJ83" s="64"/>
      <c r="BK83" s="64"/>
      <c r="BL83" s="142">
        <v>7464474</v>
      </c>
      <c r="BM83" s="64">
        <v>816170.30097689666</v>
      </c>
      <c r="BN83" s="64">
        <v>194562.55600000001</v>
      </c>
      <c r="BO83" s="64">
        <v>584975.8386532868</v>
      </c>
      <c r="BP83" s="64">
        <v>8475206.8569768965</v>
      </c>
      <c r="BQ83" s="64">
        <v>0</v>
      </c>
      <c r="BR83" s="64">
        <v>8475206.8569768965</v>
      </c>
      <c r="BS83" s="64">
        <v>8280644.3009768967</v>
      </c>
      <c r="BT83" s="64">
        <v>6815.3451036846882</v>
      </c>
      <c r="BU83" s="64">
        <v>6754.1583627467107</v>
      </c>
      <c r="BV83" s="148">
        <v>9.0591214555257576E-3</v>
      </c>
      <c r="BW83" s="148">
        <v>0</v>
      </c>
      <c r="BX83" s="64">
        <v>0</v>
      </c>
      <c r="BY83" s="219">
        <v>8475206.8569768965</v>
      </c>
      <c r="BZ83" s="64">
        <v>0</v>
      </c>
      <c r="CA83" s="64">
        <v>0</v>
      </c>
      <c r="CB83" s="188">
        <v>8475206.8569768965</v>
      </c>
      <c r="CC83" s="2"/>
      <c r="CD83" s="212">
        <f>IFERROR(VLOOKUP(B83,#REF!,29,0),0)</f>
        <v>0</v>
      </c>
      <c r="CE83" s="193">
        <f>IFERROR(VLOOKUP(B83,#REF!,28,0),0)</f>
        <v>0</v>
      </c>
      <c r="CF83" s="142"/>
      <c r="CG83" s="194"/>
      <c r="CH83" s="229">
        <f>96000+12000</f>
        <v>108000</v>
      </c>
      <c r="CI83" s="229">
        <v>0</v>
      </c>
      <c r="CJ83" s="226">
        <v>405480</v>
      </c>
      <c r="CL83" s="401">
        <v>0</v>
      </c>
      <c r="CM83" s="402">
        <v>0</v>
      </c>
      <c r="CN83" s="402">
        <v>0</v>
      </c>
      <c r="CO83" s="402">
        <v>0</v>
      </c>
      <c r="CP83" s="402">
        <v>0</v>
      </c>
      <c r="CQ83" s="402">
        <v>0</v>
      </c>
      <c r="CR83" s="402">
        <v>0</v>
      </c>
      <c r="CS83" s="402">
        <v>0</v>
      </c>
      <c r="CT83" s="206"/>
      <c r="CU83" s="195"/>
      <c r="CV83" s="2"/>
    </row>
    <row r="84" spans="1:100" ht="14" x14ac:dyDescent="0.25">
      <c r="A84" s="32">
        <v>3122065</v>
      </c>
      <c r="B84" s="184">
        <v>2065</v>
      </c>
      <c r="C84" s="179" t="s">
        <v>179</v>
      </c>
      <c r="D84" s="124">
        <v>411</v>
      </c>
      <c r="E84" s="124">
        <v>411</v>
      </c>
      <c r="F84" s="124">
        <v>0</v>
      </c>
      <c r="G84" s="124">
        <v>0</v>
      </c>
      <c r="H84" s="124">
        <v>0</v>
      </c>
      <c r="I84" s="124">
        <f t="shared" si="44"/>
        <v>31.999999999999993</v>
      </c>
      <c r="J84" s="124">
        <f t="shared" si="45"/>
        <v>0</v>
      </c>
      <c r="K84" s="124">
        <f t="shared" si="46"/>
        <v>31.999999999999993</v>
      </c>
      <c r="L84" s="124">
        <f t="shared" si="47"/>
        <v>0</v>
      </c>
      <c r="M84" s="124">
        <f t="shared" si="48"/>
        <v>25.999999999999996</v>
      </c>
      <c r="N84" s="124">
        <f t="shared" si="49"/>
        <v>0</v>
      </c>
      <c r="O84" s="124">
        <f t="shared" si="50"/>
        <v>0</v>
      </c>
      <c r="P84" s="124">
        <f t="shared" si="51"/>
        <v>0</v>
      </c>
      <c r="Q84" s="124">
        <f t="shared" si="52"/>
        <v>0</v>
      </c>
      <c r="R84" s="124">
        <f t="shared" si="53"/>
        <v>0</v>
      </c>
      <c r="S84" s="124">
        <f t="shared" si="54"/>
        <v>0</v>
      </c>
      <c r="T84" s="124">
        <f t="shared" si="55"/>
        <v>0</v>
      </c>
      <c r="U84" s="124">
        <f t="shared" si="56"/>
        <v>0</v>
      </c>
      <c r="V84" s="124">
        <f t="shared" si="57"/>
        <v>0</v>
      </c>
      <c r="W84" s="124">
        <f t="shared" si="58"/>
        <v>0</v>
      </c>
      <c r="X84" s="124">
        <f t="shared" si="59"/>
        <v>0</v>
      </c>
      <c r="Y84" s="124">
        <f t="shared" si="60"/>
        <v>46.837606837606856</v>
      </c>
      <c r="Z84" s="124">
        <f t="shared" si="61"/>
        <v>0</v>
      </c>
      <c r="AA84" s="124">
        <f t="shared" si="62"/>
        <v>100.64557373267714</v>
      </c>
      <c r="AB84" s="124">
        <f t="shared" si="63"/>
        <v>0</v>
      </c>
      <c r="AC84" s="124">
        <f t="shared" si="64"/>
        <v>0</v>
      </c>
      <c r="AD84" s="124">
        <f t="shared" si="65"/>
        <v>0</v>
      </c>
      <c r="AE84" s="127">
        <v>1755944.07</v>
      </c>
      <c r="AF84" s="63">
        <v>0</v>
      </c>
      <c r="AG84" s="130">
        <v>0</v>
      </c>
      <c r="AH84" s="130">
        <v>17429.759999999995</v>
      </c>
      <c r="AI84" s="130">
        <v>0</v>
      </c>
      <c r="AJ84" s="130">
        <v>37324.211199999991</v>
      </c>
      <c r="AK84" s="130">
        <v>0</v>
      </c>
      <c r="AL84" s="130">
        <v>6723.1995999999999</v>
      </c>
      <c r="AM84" s="130">
        <v>0</v>
      </c>
      <c r="AN84" s="134">
        <v>0</v>
      </c>
      <c r="AO84" s="64">
        <v>0</v>
      </c>
      <c r="AP84" s="64">
        <v>0</v>
      </c>
      <c r="AQ84" s="64">
        <v>0</v>
      </c>
      <c r="AR84" s="64">
        <v>0</v>
      </c>
      <c r="AS84" s="64">
        <v>0</v>
      </c>
      <c r="AT84" s="64">
        <v>0</v>
      </c>
      <c r="AU84" s="64">
        <v>0</v>
      </c>
      <c r="AV84" s="64">
        <v>0</v>
      </c>
      <c r="AW84" s="64">
        <v>0</v>
      </c>
      <c r="AX84" s="64">
        <v>30665.049572649586</v>
      </c>
      <c r="AY84" s="64">
        <v>0</v>
      </c>
      <c r="AZ84" s="64">
        <v>130126.67519045292</v>
      </c>
      <c r="BA84" s="64">
        <v>0</v>
      </c>
      <c r="BB84" s="64">
        <v>0</v>
      </c>
      <c r="BC84" s="64">
        <v>0</v>
      </c>
      <c r="BD84" s="64">
        <v>0</v>
      </c>
      <c r="BE84" s="64">
        <v>159662.24</v>
      </c>
      <c r="BF84" s="64"/>
      <c r="BG84" s="64">
        <v>41618.148000000001</v>
      </c>
      <c r="BH84" s="64"/>
      <c r="BI84" s="134">
        <v>0</v>
      </c>
      <c r="BJ84" s="64"/>
      <c r="BK84" s="64"/>
      <c r="BL84" s="142">
        <v>1755944.07</v>
      </c>
      <c r="BM84" s="64">
        <v>222268.8955631025</v>
      </c>
      <c r="BN84" s="64">
        <v>201280.38400000002</v>
      </c>
      <c r="BO84" s="64">
        <v>211261.89879102571</v>
      </c>
      <c r="BP84" s="64">
        <v>2179493.3495631027</v>
      </c>
      <c r="BQ84" s="64">
        <v>2179493.3495631027</v>
      </c>
      <c r="BR84" s="64">
        <v>0</v>
      </c>
      <c r="BS84" s="64">
        <v>1978212.9655631026</v>
      </c>
      <c r="BT84" s="64">
        <v>4813.1702325136321</v>
      </c>
      <c r="BU84" s="64">
        <v>4750.6238025974026</v>
      </c>
      <c r="BV84" s="148">
        <v>1.3165940414400367E-2</v>
      </c>
      <c r="BW84" s="148">
        <v>0</v>
      </c>
      <c r="BX84" s="64">
        <v>0</v>
      </c>
      <c r="BY84" s="219">
        <v>2179493.3495631027</v>
      </c>
      <c r="BZ84" s="64">
        <v>526.08000000000004</v>
      </c>
      <c r="CA84" s="64">
        <v>4529.22</v>
      </c>
      <c r="CB84" s="188">
        <v>2174438.0495631029</v>
      </c>
      <c r="CC84" s="2"/>
      <c r="CD84" s="212">
        <f>IFERROR(VLOOKUP(B84,#REF!,29,0),0)</f>
        <v>0</v>
      </c>
      <c r="CE84" s="193">
        <f>IFERROR(VLOOKUP(B84,#REF!,28,0),0)</f>
        <v>0</v>
      </c>
      <c r="CF84" s="142"/>
      <c r="CG84" s="194"/>
      <c r="CH84" s="229">
        <v>0</v>
      </c>
      <c r="CI84" s="229">
        <v>0</v>
      </c>
      <c r="CJ84" s="226">
        <v>68500</v>
      </c>
      <c r="CL84" s="401">
        <v>47360</v>
      </c>
      <c r="CM84" s="402">
        <v>335</v>
      </c>
      <c r="CN84" s="402">
        <v>2530</v>
      </c>
      <c r="CO84" s="402">
        <v>7900</v>
      </c>
      <c r="CP84" s="402">
        <v>28245</v>
      </c>
      <c r="CQ84" s="402">
        <v>71037.674999999988</v>
      </c>
      <c r="CR84" s="402">
        <v>67157.400000000009</v>
      </c>
      <c r="CS84" s="402">
        <v>8239</v>
      </c>
      <c r="CT84" s="206"/>
      <c r="CU84" s="195"/>
      <c r="CV84" s="2"/>
    </row>
    <row r="85" spans="1:100" ht="14" hidden="1" x14ac:dyDescent="0.25">
      <c r="A85" s="32">
        <v>3122051</v>
      </c>
      <c r="B85" s="184">
        <v>2051</v>
      </c>
      <c r="C85" s="179" t="s">
        <v>180</v>
      </c>
      <c r="D85" s="124">
        <v>619</v>
      </c>
      <c r="E85" s="124">
        <v>619</v>
      </c>
      <c r="F85" s="124">
        <v>0</v>
      </c>
      <c r="G85" s="124">
        <v>0</v>
      </c>
      <c r="H85" s="124">
        <v>0</v>
      </c>
      <c r="I85" s="124">
        <f t="shared" si="44"/>
        <v>135.99999999999989</v>
      </c>
      <c r="J85" s="124">
        <f t="shared" si="45"/>
        <v>0</v>
      </c>
      <c r="K85" s="124">
        <f t="shared" si="46"/>
        <v>135.99999999999989</v>
      </c>
      <c r="L85" s="124">
        <f t="shared" si="47"/>
        <v>0</v>
      </c>
      <c r="M85" s="124">
        <f t="shared" si="48"/>
        <v>278.90113452187984</v>
      </c>
      <c r="N85" s="124">
        <f t="shared" si="49"/>
        <v>281.91085899513797</v>
      </c>
      <c r="O85" s="124">
        <f t="shared" si="50"/>
        <v>11.035656401944879</v>
      </c>
      <c r="P85" s="124">
        <f t="shared" si="51"/>
        <v>0</v>
      </c>
      <c r="Q85" s="124">
        <f t="shared" si="52"/>
        <v>0</v>
      </c>
      <c r="R85" s="124">
        <f t="shared" si="53"/>
        <v>0</v>
      </c>
      <c r="S85" s="124">
        <f t="shared" si="54"/>
        <v>0</v>
      </c>
      <c r="T85" s="124">
        <f t="shared" si="55"/>
        <v>0</v>
      </c>
      <c r="U85" s="124">
        <f t="shared" si="56"/>
        <v>0</v>
      </c>
      <c r="V85" s="124">
        <f t="shared" si="57"/>
        <v>0</v>
      </c>
      <c r="W85" s="124">
        <f t="shared" si="58"/>
        <v>0</v>
      </c>
      <c r="X85" s="124">
        <f t="shared" si="59"/>
        <v>0</v>
      </c>
      <c r="Y85" s="124">
        <f t="shared" si="60"/>
        <v>240.33143939393952</v>
      </c>
      <c r="Z85" s="124">
        <f t="shared" si="61"/>
        <v>0</v>
      </c>
      <c r="AA85" s="124">
        <f t="shared" si="62"/>
        <v>179.84034192464327</v>
      </c>
      <c r="AB85" s="124">
        <f t="shared" si="63"/>
        <v>0</v>
      </c>
      <c r="AC85" s="124">
        <f t="shared" si="64"/>
        <v>3.9929011345218579</v>
      </c>
      <c r="AD85" s="124">
        <f t="shared" si="65"/>
        <v>0</v>
      </c>
      <c r="AE85" s="127">
        <v>2644597.0299999998</v>
      </c>
      <c r="AF85" s="63">
        <v>0</v>
      </c>
      <c r="AG85" s="130">
        <v>0</v>
      </c>
      <c r="AH85" s="130">
        <v>74076.479999999938</v>
      </c>
      <c r="AI85" s="130">
        <v>0</v>
      </c>
      <c r="AJ85" s="130">
        <v>158627.89759999985</v>
      </c>
      <c r="AK85" s="130">
        <v>0</v>
      </c>
      <c r="AL85" s="130">
        <v>72119.538309886499</v>
      </c>
      <c r="AM85" s="130">
        <v>88407.978349108656</v>
      </c>
      <c r="AN85" s="134">
        <v>5403.7217209076098</v>
      </c>
      <c r="AO85" s="64">
        <v>0</v>
      </c>
      <c r="AP85" s="64">
        <v>0</v>
      </c>
      <c r="AQ85" s="64">
        <v>0</v>
      </c>
      <c r="AR85" s="64">
        <v>0</v>
      </c>
      <c r="AS85" s="64">
        <v>0</v>
      </c>
      <c r="AT85" s="64">
        <v>0</v>
      </c>
      <c r="AU85" s="64">
        <v>0</v>
      </c>
      <c r="AV85" s="64">
        <v>0</v>
      </c>
      <c r="AW85" s="64">
        <v>0</v>
      </c>
      <c r="AX85" s="64">
        <v>157347.39668560616</v>
      </c>
      <c r="AY85" s="64">
        <v>0</v>
      </c>
      <c r="AZ85" s="64">
        <v>232519.17488120979</v>
      </c>
      <c r="BA85" s="64">
        <v>0</v>
      </c>
      <c r="BB85" s="64">
        <v>4239.8620696920343</v>
      </c>
      <c r="BC85" s="64">
        <v>0</v>
      </c>
      <c r="BD85" s="64">
        <v>0</v>
      </c>
      <c r="BE85" s="64"/>
      <c r="BF85" s="64">
        <v>159662.24</v>
      </c>
      <c r="BG85" s="64">
        <v>13607.36</v>
      </c>
      <c r="BH85" s="64"/>
      <c r="BI85" s="134">
        <v>0</v>
      </c>
      <c r="BJ85" s="64"/>
      <c r="BK85" s="64"/>
      <c r="BL85" s="142">
        <v>2644597.0299999998</v>
      </c>
      <c r="BM85" s="64">
        <v>792742.0496164104</v>
      </c>
      <c r="BN85" s="64">
        <v>173269.59600000002</v>
      </c>
      <c r="BO85" s="64">
        <v>466495.80656383792</v>
      </c>
      <c r="BP85" s="64">
        <v>3610608.6756164101</v>
      </c>
      <c r="BQ85" s="64">
        <v>3610608.6756164106</v>
      </c>
      <c r="BR85" s="64">
        <v>0</v>
      </c>
      <c r="BS85" s="64">
        <v>3437339.0796164102</v>
      </c>
      <c r="BT85" s="64">
        <v>5553.0518249053475</v>
      </c>
      <c r="BU85" s="64">
        <v>5638.2248751602565</v>
      </c>
      <c r="BV85" s="148">
        <v>-1.5106359207158807E-2</v>
      </c>
      <c r="BW85" s="148">
        <v>1.5106359207158807E-2</v>
      </c>
      <c r="BX85" s="64">
        <v>52722.118107788643</v>
      </c>
      <c r="BY85" s="219">
        <v>3663330.7937241988</v>
      </c>
      <c r="BZ85" s="64">
        <v>0</v>
      </c>
      <c r="CA85" s="64">
        <v>0</v>
      </c>
      <c r="CB85" s="188">
        <v>3663330.7937241988</v>
      </c>
      <c r="CC85" s="2"/>
      <c r="CD85" s="212">
        <f>IFERROR(VLOOKUP(B85,#REF!,29,0),0)</f>
        <v>0</v>
      </c>
      <c r="CE85" s="193">
        <f>IFERROR(VLOOKUP(B85,#REF!,28,0),0)</f>
        <v>0</v>
      </c>
      <c r="CF85" s="142"/>
      <c r="CG85" s="194"/>
      <c r="CH85" s="229">
        <v>0</v>
      </c>
      <c r="CI85" s="229">
        <v>0</v>
      </c>
      <c r="CJ85" s="226">
        <v>177478</v>
      </c>
      <c r="CL85" s="401">
        <v>0</v>
      </c>
      <c r="CM85" s="402">
        <v>0</v>
      </c>
      <c r="CN85" s="402">
        <v>0</v>
      </c>
      <c r="CO85" s="402">
        <v>0</v>
      </c>
      <c r="CP85" s="402">
        <v>33088.5</v>
      </c>
      <c r="CQ85" s="402">
        <v>95956.65</v>
      </c>
      <c r="CR85" s="402">
        <v>0</v>
      </c>
      <c r="CS85" s="402">
        <v>0</v>
      </c>
      <c r="CT85" s="206"/>
      <c r="CU85" s="195"/>
      <c r="CV85" s="2"/>
    </row>
    <row r="86" spans="1:100" ht="14" x14ac:dyDescent="0.25">
      <c r="A86" s="32">
        <v>3122069</v>
      </c>
      <c r="B86" s="184">
        <v>2069</v>
      </c>
      <c r="C86" s="179" t="s">
        <v>181</v>
      </c>
      <c r="D86" s="124">
        <v>287</v>
      </c>
      <c r="E86" s="124">
        <v>287</v>
      </c>
      <c r="F86" s="124">
        <v>0</v>
      </c>
      <c r="G86" s="124">
        <v>0</v>
      </c>
      <c r="H86" s="124">
        <v>0</v>
      </c>
      <c r="I86" s="124">
        <f t="shared" si="44"/>
        <v>79.000000000000057</v>
      </c>
      <c r="J86" s="124">
        <f t="shared" si="45"/>
        <v>0</v>
      </c>
      <c r="K86" s="124">
        <f t="shared" si="46"/>
        <v>79.999999999999957</v>
      </c>
      <c r="L86" s="124">
        <f t="shared" si="47"/>
        <v>0</v>
      </c>
      <c r="M86" s="124">
        <f t="shared" si="48"/>
        <v>21.000000000000007</v>
      </c>
      <c r="N86" s="124">
        <f t="shared" si="49"/>
        <v>118.99999999999989</v>
      </c>
      <c r="O86" s="124">
        <f t="shared" si="50"/>
        <v>35.999999999999879</v>
      </c>
      <c r="P86" s="124">
        <f t="shared" si="51"/>
        <v>5.9999999999999893</v>
      </c>
      <c r="Q86" s="124">
        <f t="shared" si="52"/>
        <v>0</v>
      </c>
      <c r="R86" s="124">
        <f t="shared" si="53"/>
        <v>0</v>
      </c>
      <c r="S86" s="124">
        <f t="shared" si="54"/>
        <v>0</v>
      </c>
      <c r="T86" s="124">
        <f t="shared" si="55"/>
        <v>0</v>
      </c>
      <c r="U86" s="124">
        <f t="shared" si="56"/>
        <v>0</v>
      </c>
      <c r="V86" s="124">
        <f t="shared" si="57"/>
        <v>0</v>
      </c>
      <c r="W86" s="124">
        <f t="shared" si="58"/>
        <v>0</v>
      </c>
      <c r="X86" s="124">
        <f t="shared" si="59"/>
        <v>0</v>
      </c>
      <c r="Y86" s="124">
        <f t="shared" si="60"/>
        <v>132.02000000000001</v>
      </c>
      <c r="Z86" s="124">
        <f t="shared" si="61"/>
        <v>0</v>
      </c>
      <c r="AA86" s="124">
        <f t="shared" si="62"/>
        <v>95.666888644824553</v>
      </c>
      <c r="AB86" s="124">
        <f t="shared" si="63"/>
        <v>0</v>
      </c>
      <c r="AC86" s="124">
        <f t="shared" si="64"/>
        <v>0</v>
      </c>
      <c r="AD86" s="124">
        <f t="shared" si="65"/>
        <v>0</v>
      </c>
      <c r="AE86" s="127">
        <v>1226170.19</v>
      </c>
      <c r="AF86" s="63">
        <v>0</v>
      </c>
      <c r="AG86" s="130">
        <v>0</v>
      </c>
      <c r="AH86" s="130">
        <v>43029.72000000003</v>
      </c>
      <c r="AI86" s="130">
        <v>0</v>
      </c>
      <c r="AJ86" s="130">
        <v>93310.527999999947</v>
      </c>
      <c r="AK86" s="130">
        <v>0</v>
      </c>
      <c r="AL86" s="130">
        <v>5430.276600000002</v>
      </c>
      <c r="AM86" s="130">
        <v>37318.709399999963</v>
      </c>
      <c r="AN86" s="134">
        <v>17627.76719999994</v>
      </c>
      <c r="AO86" s="64">
        <v>3235.058399999994</v>
      </c>
      <c r="AP86" s="64">
        <v>0</v>
      </c>
      <c r="AQ86" s="64">
        <v>0</v>
      </c>
      <c r="AR86" s="64">
        <v>0</v>
      </c>
      <c r="AS86" s="64">
        <v>0</v>
      </c>
      <c r="AT86" s="64">
        <v>0</v>
      </c>
      <c r="AU86" s="64">
        <v>0</v>
      </c>
      <c r="AV86" s="64">
        <v>0</v>
      </c>
      <c r="AW86" s="64">
        <v>0</v>
      </c>
      <c r="AX86" s="64">
        <v>86434.814200000008</v>
      </c>
      <c r="AY86" s="64">
        <v>0</v>
      </c>
      <c r="AZ86" s="64">
        <v>123689.63366666656</v>
      </c>
      <c r="BA86" s="64">
        <v>0</v>
      </c>
      <c r="BB86" s="64">
        <v>0</v>
      </c>
      <c r="BC86" s="64">
        <v>0</v>
      </c>
      <c r="BD86" s="64">
        <v>0</v>
      </c>
      <c r="BE86" s="64">
        <v>159662.24</v>
      </c>
      <c r="BF86" s="64"/>
      <c r="BG86" s="64">
        <v>52561.599999999999</v>
      </c>
      <c r="BH86" s="64"/>
      <c r="BI86" s="134">
        <v>0</v>
      </c>
      <c r="BJ86" s="64"/>
      <c r="BK86" s="64"/>
      <c r="BL86" s="142">
        <v>1226170.19</v>
      </c>
      <c r="BM86" s="64">
        <v>410076.50746666646</v>
      </c>
      <c r="BN86" s="64">
        <v>212223.83600000001</v>
      </c>
      <c r="BO86" s="64">
        <v>236932.93803866647</v>
      </c>
      <c r="BP86" s="64">
        <v>1848470.5334666665</v>
      </c>
      <c r="BQ86" s="64">
        <v>1848470.533466666</v>
      </c>
      <c r="BR86" s="64">
        <v>0</v>
      </c>
      <c r="BS86" s="64">
        <v>1636246.6974666663</v>
      </c>
      <c r="BT86" s="64">
        <v>5701.2080051103358</v>
      </c>
      <c r="BU86" s="64">
        <v>5781.5355158075599</v>
      </c>
      <c r="BV86" s="148">
        <v>-1.3893802170305286E-2</v>
      </c>
      <c r="BW86" s="148">
        <v>1.3893802170305286E-2</v>
      </c>
      <c r="BX86" s="64">
        <v>23053.995570103336</v>
      </c>
      <c r="BY86" s="219">
        <v>1871524.5290367699</v>
      </c>
      <c r="BZ86" s="64">
        <v>367.36</v>
      </c>
      <c r="CA86" s="64">
        <v>3162.74</v>
      </c>
      <c r="CB86" s="188">
        <v>1867994.4290367698</v>
      </c>
      <c r="CC86" s="2"/>
      <c r="CD86" s="212">
        <f>IFERROR(VLOOKUP(B86,#REF!,29,0),0)</f>
        <v>0</v>
      </c>
      <c r="CE86" s="193">
        <f>IFERROR(VLOOKUP(B86,#REF!,28,0),0)</f>
        <v>0</v>
      </c>
      <c r="CF86" s="142"/>
      <c r="CG86" s="194"/>
      <c r="CH86" s="229">
        <v>0</v>
      </c>
      <c r="CI86" s="229">
        <v>0</v>
      </c>
      <c r="CJ86" s="226">
        <v>177478</v>
      </c>
      <c r="CL86" s="401">
        <v>131720</v>
      </c>
      <c r="CM86" s="402">
        <v>670</v>
      </c>
      <c r="CN86" s="402">
        <v>7590</v>
      </c>
      <c r="CO86" s="402">
        <v>7500</v>
      </c>
      <c r="CP86" s="402">
        <v>0</v>
      </c>
      <c r="CQ86" s="402">
        <v>0</v>
      </c>
      <c r="CR86" s="402">
        <v>94363.5</v>
      </c>
      <c r="CS86" s="402">
        <v>7755.25</v>
      </c>
      <c r="CT86" s="206"/>
      <c r="CU86" s="195"/>
      <c r="CV86" s="2"/>
    </row>
    <row r="87" spans="1:100" ht="14" x14ac:dyDescent="0.25">
      <c r="A87" s="32">
        <v>3122052</v>
      </c>
      <c r="B87" s="184">
        <v>2052</v>
      </c>
      <c r="C87" s="179" t="s">
        <v>182</v>
      </c>
      <c r="D87" s="124">
        <v>399</v>
      </c>
      <c r="E87" s="124">
        <v>399</v>
      </c>
      <c r="F87" s="124">
        <v>0</v>
      </c>
      <c r="G87" s="124">
        <v>0</v>
      </c>
      <c r="H87" s="124">
        <v>0</v>
      </c>
      <c r="I87" s="124">
        <f t="shared" si="44"/>
        <v>119.0000000000001</v>
      </c>
      <c r="J87" s="124">
        <f t="shared" si="45"/>
        <v>0</v>
      </c>
      <c r="K87" s="124">
        <f t="shared" si="46"/>
        <v>124.0000000000001</v>
      </c>
      <c r="L87" s="124">
        <f t="shared" si="47"/>
        <v>0</v>
      </c>
      <c r="M87" s="124">
        <f t="shared" si="48"/>
        <v>30.999999999999986</v>
      </c>
      <c r="N87" s="124">
        <f t="shared" si="49"/>
        <v>172</v>
      </c>
      <c r="O87" s="124">
        <f t="shared" si="50"/>
        <v>38.999999999999986</v>
      </c>
      <c r="P87" s="124">
        <f t="shared" si="51"/>
        <v>3.9999999999999982</v>
      </c>
      <c r="Q87" s="124">
        <f t="shared" si="52"/>
        <v>0</v>
      </c>
      <c r="R87" s="124">
        <f t="shared" si="53"/>
        <v>0</v>
      </c>
      <c r="S87" s="124">
        <f t="shared" si="54"/>
        <v>0</v>
      </c>
      <c r="T87" s="124">
        <f t="shared" si="55"/>
        <v>0</v>
      </c>
      <c r="U87" s="124">
        <f t="shared" si="56"/>
        <v>0</v>
      </c>
      <c r="V87" s="124">
        <f t="shared" si="57"/>
        <v>0</v>
      </c>
      <c r="W87" s="124">
        <f t="shared" si="58"/>
        <v>0</v>
      </c>
      <c r="X87" s="124">
        <f t="shared" si="59"/>
        <v>0</v>
      </c>
      <c r="Y87" s="124">
        <f t="shared" si="60"/>
        <v>95.999999999999801</v>
      </c>
      <c r="Z87" s="124">
        <f t="shared" si="61"/>
        <v>0</v>
      </c>
      <c r="AA87" s="124">
        <f t="shared" si="62"/>
        <v>104.81834276000615</v>
      </c>
      <c r="AB87" s="124">
        <f t="shared" si="63"/>
        <v>0</v>
      </c>
      <c r="AC87" s="124">
        <f t="shared" si="64"/>
        <v>0.12030150753767169</v>
      </c>
      <c r="AD87" s="124">
        <f t="shared" si="65"/>
        <v>0</v>
      </c>
      <c r="AE87" s="127">
        <v>1704675.63</v>
      </c>
      <c r="AF87" s="63">
        <v>0</v>
      </c>
      <c r="AG87" s="130">
        <v>0</v>
      </c>
      <c r="AH87" s="130">
        <v>64816.920000000049</v>
      </c>
      <c r="AI87" s="130">
        <v>0</v>
      </c>
      <c r="AJ87" s="130">
        <v>144631.31840000011</v>
      </c>
      <c r="AK87" s="130">
        <v>0</v>
      </c>
      <c r="AL87" s="130">
        <v>8016.122599999997</v>
      </c>
      <c r="AM87" s="130">
        <v>53939.647199999999</v>
      </c>
      <c r="AN87" s="134">
        <v>19096.747799999994</v>
      </c>
      <c r="AO87" s="64">
        <v>2156.7055999999989</v>
      </c>
      <c r="AP87" s="64">
        <v>0</v>
      </c>
      <c r="AQ87" s="64">
        <v>0</v>
      </c>
      <c r="AR87" s="64">
        <v>0</v>
      </c>
      <c r="AS87" s="64">
        <v>0</v>
      </c>
      <c r="AT87" s="64">
        <v>0</v>
      </c>
      <c r="AU87" s="64">
        <v>0</v>
      </c>
      <c r="AV87" s="64">
        <v>0</v>
      </c>
      <c r="AW87" s="64">
        <v>0</v>
      </c>
      <c r="AX87" s="64">
        <v>62852.159999999873</v>
      </c>
      <c r="AY87" s="64">
        <v>0</v>
      </c>
      <c r="AZ87" s="64">
        <v>135521.73172126716</v>
      </c>
      <c r="BA87" s="64">
        <v>0</v>
      </c>
      <c r="BB87" s="64">
        <v>127.74215577887666</v>
      </c>
      <c r="BC87" s="64">
        <v>0</v>
      </c>
      <c r="BD87" s="64">
        <v>0</v>
      </c>
      <c r="BE87" s="64">
        <v>159662.24</v>
      </c>
      <c r="BF87" s="64"/>
      <c r="BG87" s="64">
        <v>52561.599999999999</v>
      </c>
      <c r="BH87" s="64"/>
      <c r="BI87" s="134">
        <v>0</v>
      </c>
      <c r="BJ87" s="64"/>
      <c r="BK87" s="64"/>
      <c r="BL87" s="142">
        <v>1704675.63</v>
      </c>
      <c r="BM87" s="64">
        <v>491159.09547704604</v>
      </c>
      <c r="BN87" s="64">
        <v>212223.83600000001</v>
      </c>
      <c r="BO87" s="64">
        <v>297217.49053803133</v>
      </c>
      <c r="BP87" s="64">
        <v>2408058.561477046</v>
      </c>
      <c r="BQ87" s="64">
        <v>2408058.561477046</v>
      </c>
      <c r="BR87" s="64">
        <v>0</v>
      </c>
      <c r="BS87" s="64">
        <v>2195834.7254770459</v>
      </c>
      <c r="BT87" s="64">
        <v>5503.3451766342005</v>
      </c>
      <c r="BU87" s="64">
        <v>5558.9670721354169</v>
      </c>
      <c r="BV87" s="148">
        <v>-1.0005796900655114E-2</v>
      </c>
      <c r="BW87" s="148">
        <v>1.0005796900655114E-2</v>
      </c>
      <c r="BX87" s="64">
        <v>22193.136304985339</v>
      </c>
      <c r="BY87" s="219">
        <v>2430251.6977820313</v>
      </c>
      <c r="BZ87" s="64">
        <v>510.72</v>
      </c>
      <c r="CA87" s="64">
        <v>4396.9799999999996</v>
      </c>
      <c r="CB87" s="188">
        <v>2425343.9977820311</v>
      </c>
      <c r="CC87" s="2"/>
      <c r="CD87" s="212">
        <f>IFERROR(VLOOKUP(B87,#REF!,29,0),0)</f>
        <v>0</v>
      </c>
      <c r="CE87" s="193">
        <f>IFERROR(VLOOKUP(B87,#REF!,28,0),0)</f>
        <v>0</v>
      </c>
      <c r="CF87" s="142"/>
      <c r="CG87" s="194"/>
      <c r="CH87" s="229">
        <v>0</v>
      </c>
      <c r="CI87" s="229">
        <v>0</v>
      </c>
      <c r="CJ87" s="226">
        <v>46377</v>
      </c>
      <c r="CL87" s="401">
        <v>180560</v>
      </c>
      <c r="CM87" s="402">
        <v>1340</v>
      </c>
      <c r="CN87" s="402">
        <v>5060</v>
      </c>
      <c r="CO87" s="402">
        <v>8258</v>
      </c>
      <c r="CP87" s="402">
        <v>34114.5</v>
      </c>
      <c r="CQ87" s="402">
        <v>98932.049999999988</v>
      </c>
      <c r="CR87" s="402">
        <v>0</v>
      </c>
      <c r="CS87" s="402">
        <v>8297.5</v>
      </c>
      <c r="CT87" s="206"/>
      <c r="CU87" s="195"/>
      <c r="CV87" s="2"/>
    </row>
    <row r="88" spans="1:100" ht="14" x14ac:dyDescent="0.25">
      <c r="A88" s="32">
        <v>3122074</v>
      </c>
      <c r="B88" s="184">
        <v>2074</v>
      </c>
      <c r="C88" s="179" t="s">
        <v>290</v>
      </c>
      <c r="D88" s="124">
        <v>198</v>
      </c>
      <c r="E88" s="124">
        <v>198</v>
      </c>
      <c r="F88" s="124">
        <v>0</v>
      </c>
      <c r="G88" s="124">
        <v>0</v>
      </c>
      <c r="H88" s="124">
        <v>0</v>
      </c>
      <c r="I88" s="124">
        <f t="shared" si="44"/>
        <v>19.000000000000007</v>
      </c>
      <c r="J88" s="124">
        <f t="shared" si="45"/>
        <v>0</v>
      </c>
      <c r="K88" s="124">
        <f t="shared" si="46"/>
        <v>19.000000000000007</v>
      </c>
      <c r="L88" s="124">
        <f t="shared" si="47"/>
        <v>0</v>
      </c>
      <c r="M88" s="124">
        <f t="shared" si="48"/>
        <v>47.999999999999915</v>
      </c>
      <c r="N88" s="124">
        <f t="shared" si="49"/>
        <v>1.9999999999999996</v>
      </c>
      <c r="O88" s="124">
        <f t="shared" si="50"/>
        <v>0</v>
      </c>
      <c r="P88" s="124">
        <f t="shared" si="51"/>
        <v>0</v>
      </c>
      <c r="Q88" s="124">
        <f t="shared" si="52"/>
        <v>0.99999999999999978</v>
      </c>
      <c r="R88" s="124">
        <f t="shared" si="53"/>
        <v>0</v>
      </c>
      <c r="S88" s="124">
        <f t="shared" si="54"/>
        <v>0</v>
      </c>
      <c r="T88" s="124">
        <f t="shared" si="55"/>
        <v>0</v>
      </c>
      <c r="U88" s="124">
        <f t="shared" si="56"/>
        <v>0</v>
      </c>
      <c r="V88" s="124">
        <f t="shared" si="57"/>
        <v>0</v>
      </c>
      <c r="W88" s="124">
        <f t="shared" si="58"/>
        <v>0</v>
      </c>
      <c r="X88" s="124">
        <f t="shared" si="59"/>
        <v>0</v>
      </c>
      <c r="Y88" s="124">
        <f t="shared" si="60"/>
        <v>44.661654135338324</v>
      </c>
      <c r="Z88" s="124">
        <f t="shared" si="61"/>
        <v>0</v>
      </c>
      <c r="AA88" s="124">
        <f t="shared" si="62"/>
        <v>57.877057370436432</v>
      </c>
      <c r="AB88" s="124">
        <f t="shared" si="63"/>
        <v>0</v>
      </c>
      <c r="AC88" s="124">
        <f t="shared" si="64"/>
        <v>0</v>
      </c>
      <c r="AD88" s="124">
        <f t="shared" si="65"/>
        <v>0</v>
      </c>
      <c r="AE88" s="127">
        <v>845929.26</v>
      </c>
      <c r="AF88" s="63">
        <v>0</v>
      </c>
      <c r="AG88" s="130">
        <v>0</v>
      </c>
      <c r="AH88" s="130">
        <v>10348.920000000004</v>
      </c>
      <c r="AI88" s="130">
        <v>0</v>
      </c>
      <c r="AJ88" s="130">
        <v>22161.250400000008</v>
      </c>
      <c r="AK88" s="130">
        <v>0</v>
      </c>
      <c r="AL88" s="130">
        <v>12412.060799999979</v>
      </c>
      <c r="AM88" s="130">
        <v>627.20519999999988</v>
      </c>
      <c r="AN88" s="134">
        <v>0</v>
      </c>
      <c r="AO88" s="64">
        <v>0</v>
      </c>
      <c r="AP88" s="64">
        <v>572.18719999999985</v>
      </c>
      <c r="AQ88" s="64">
        <v>0</v>
      </c>
      <c r="AR88" s="64">
        <v>0</v>
      </c>
      <c r="AS88" s="64">
        <v>0</v>
      </c>
      <c r="AT88" s="64">
        <v>0</v>
      </c>
      <c r="AU88" s="64">
        <v>0</v>
      </c>
      <c r="AV88" s="64">
        <v>0</v>
      </c>
      <c r="AW88" s="64">
        <v>0</v>
      </c>
      <c r="AX88" s="64">
        <v>29240.431578947355</v>
      </c>
      <c r="AY88" s="64">
        <v>0</v>
      </c>
      <c r="AZ88" s="64">
        <v>74830.405015384677</v>
      </c>
      <c r="BA88" s="64">
        <v>0</v>
      </c>
      <c r="BB88" s="64">
        <v>0</v>
      </c>
      <c r="BC88" s="64">
        <v>0</v>
      </c>
      <c r="BD88" s="64">
        <v>0</v>
      </c>
      <c r="BE88" s="64">
        <v>159662.24</v>
      </c>
      <c r="BF88" s="64"/>
      <c r="BG88" s="64">
        <v>22822.799999999999</v>
      </c>
      <c r="BH88" s="64"/>
      <c r="BI88" s="134">
        <v>0</v>
      </c>
      <c r="BJ88" s="64"/>
      <c r="BK88" s="64"/>
      <c r="BL88" s="142">
        <v>845929.26</v>
      </c>
      <c r="BM88" s="64">
        <v>150192.460194332</v>
      </c>
      <c r="BN88" s="64">
        <v>182485.03599999999</v>
      </c>
      <c r="BO88" s="64">
        <v>122799.25342646157</v>
      </c>
      <c r="BP88" s="64">
        <v>1178606.7561943321</v>
      </c>
      <c r="BQ88" s="64">
        <v>1178606.7561943321</v>
      </c>
      <c r="BR88" s="64">
        <v>0</v>
      </c>
      <c r="BS88" s="64">
        <v>996121.72019433207</v>
      </c>
      <c r="BT88" s="64">
        <v>5030.9177787592525</v>
      </c>
      <c r="BU88" s="64">
        <v>5002.5857301435408</v>
      </c>
      <c r="BV88" s="148">
        <v>5.6634808764984054E-3</v>
      </c>
      <c r="BW88" s="148">
        <v>0</v>
      </c>
      <c r="BX88" s="64">
        <v>0</v>
      </c>
      <c r="BY88" s="219">
        <v>1178606.7561943321</v>
      </c>
      <c r="BZ88" s="64">
        <v>253.44</v>
      </c>
      <c r="CA88" s="64">
        <v>2181.96</v>
      </c>
      <c r="CB88" s="188">
        <v>1176171.3561943322</v>
      </c>
      <c r="CC88" s="2"/>
      <c r="CD88" s="212">
        <f>IFERROR(VLOOKUP(B88,#REF!,29,0),0)</f>
        <v>0</v>
      </c>
      <c r="CE88" s="193">
        <f>IFERROR(VLOOKUP(B88,#REF!,28,0),0)</f>
        <v>0</v>
      </c>
      <c r="CF88" s="142"/>
      <c r="CG88" s="194"/>
      <c r="CH88" s="229">
        <v>0</v>
      </c>
      <c r="CI88" s="229">
        <v>0</v>
      </c>
      <c r="CJ88" s="226">
        <v>61587</v>
      </c>
      <c r="CL88" s="401">
        <v>39960</v>
      </c>
      <c r="CM88" s="402">
        <v>1005</v>
      </c>
      <c r="CN88" s="402">
        <v>7590</v>
      </c>
      <c r="CO88" s="402">
        <v>7350</v>
      </c>
      <c r="CP88" s="402">
        <v>0</v>
      </c>
      <c r="CQ88" s="402">
        <v>0</v>
      </c>
      <c r="CR88" s="402">
        <v>87745.8</v>
      </c>
      <c r="CS88" s="402">
        <v>7204</v>
      </c>
      <c r="CT88" s="206"/>
      <c r="CU88" s="195"/>
      <c r="CV88" s="2"/>
    </row>
    <row r="89" spans="1:100" ht="14" x14ac:dyDescent="0.25">
      <c r="A89" s="32">
        <v>3122054</v>
      </c>
      <c r="B89" s="184">
        <v>2054</v>
      </c>
      <c r="C89" s="179" t="s">
        <v>184</v>
      </c>
      <c r="D89" s="124">
        <v>301</v>
      </c>
      <c r="E89" s="124">
        <v>301</v>
      </c>
      <c r="F89" s="124">
        <v>0</v>
      </c>
      <c r="G89" s="124">
        <v>0</v>
      </c>
      <c r="H89" s="124">
        <v>0</v>
      </c>
      <c r="I89" s="124">
        <f t="shared" si="44"/>
        <v>33.000000000000114</v>
      </c>
      <c r="J89" s="124">
        <f t="shared" si="45"/>
        <v>0</v>
      </c>
      <c r="K89" s="124">
        <f t="shared" si="46"/>
        <v>33.000000000000114</v>
      </c>
      <c r="L89" s="124">
        <f t="shared" si="47"/>
        <v>0</v>
      </c>
      <c r="M89" s="124">
        <f t="shared" si="48"/>
        <v>65.000000000000128</v>
      </c>
      <c r="N89" s="124">
        <f t="shared" si="49"/>
        <v>2.9999999999999987</v>
      </c>
      <c r="O89" s="124">
        <f t="shared" si="50"/>
        <v>0</v>
      </c>
      <c r="P89" s="124">
        <f t="shared" si="51"/>
        <v>0.99999999999999856</v>
      </c>
      <c r="Q89" s="124">
        <f t="shared" si="52"/>
        <v>0</v>
      </c>
      <c r="R89" s="124">
        <f t="shared" si="53"/>
        <v>0</v>
      </c>
      <c r="S89" s="124">
        <f t="shared" si="54"/>
        <v>0</v>
      </c>
      <c r="T89" s="124">
        <f t="shared" si="55"/>
        <v>0</v>
      </c>
      <c r="U89" s="124">
        <f t="shared" si="56"/>
        <v>0</v>
      </c>
      <c r="V89" s="124">
        <f t="shared" si="57"/>
        <v>0</v>
      </c>
      <c r="W89" s="124">
        <f t="shared" si="58"/>
        <v>0</v>
      </c>
      <c r="X89" s="124">
        <f t="shared" si="59"/>
        <v>0</v>
      </c>
      <c r="Y89" s="124">
        <f t="shared" si="60"/>
        <v>19.000000000000011</v>
      </c>
      <c r="Z89" s="124">
        <f t="shared" si="61"/>
        <v>0</v>
      </c>
      <c r="AA89" s="124">
        <f t="shared" si="62"/>
        <v>69.663086810985803</v>
      </c>
      <c r="AB89" s="124">
        <f t="shared" si="63"/>
        <v>0</v>
      </c>
      <c r="AC89" s="124">
        <f t="shared" si="64"/>
        <v>0</v>
      </c>
      <c r="AD89" s="124">
        <f t="shared" si="65"/>
        <v>0</v>
      </c>
      <c r="AE89" s="127">
        <v>1285983.3699999999</v>
      </c>
      <c r="AF89" s="63">
        <v>0</v>
      </c>
      <c r="AG89" s="130">
        <v>0</v>
      </c>
      <c r="AH89" s="130">
        <v>17974.440000000061</v>
      </c>
      <c r="AI89" s="130">
        <v>0</v>
      </c>
      <c r="AJ89" s="130">
        <v>38490.59280000013</v>
      </c>
      <c r="AK89" s="130">
        <v>0</v>
      </c>
      <c r="AL89" s="130">
        <v>16807.999000000036</v>
      </c>
      <c r="AM89" s="130">
        <v>940.80779999999959</v>
      </c>
      <c r="AN89" s="134">
        <v>0</v>
      </c>
      <c r="AO89" s="64">
        <v>539.17639999999915</v>
      </c>
      <c r="AP89" s="64">
        <v>0</v>
      </c>
      <c r="AQ89" s="64">
        <v>0</v>
      </c>
      <c r="AR89" s="64">
        <v>0</v>
      </c>
      <c r="AS89" s="64">
        <v>0</v>
      </c>
      <c r="AT89" s="64">
        <v>0</v>
      </c>
      <c r="AU89" s="64">
        <v>0</v>
      </c>
      <c r="AV89" s="64">
        <v>0</v>
      </c>
      <c r="AW89" s="64">
        <v>0</v>
      </c>
      <c r="AX89" s="64">
        <v>12439.490000000007</v>
      </c>
      <c r="AY89" s="64">
        <v>0</v>
      </c>
      <c r="AZ89" s="64">
        <v>90068.798199659766</v>
      </c>
      <c r="BA89" s="64">
        <v>0</v>
      </c>
      <c r="BB89" s="64">
        <v>0</v>
      </c>
      <c r="BC89" s="64">
        <v>0</v>
      </c>
      <c r="BD89" s="64">
        <v>0</v>
      </c>
      <c r="BE89" s="64">
        <v>159662.24</v>
      </c>
      <c r="BF89" s="64"/>
      <c r="BG89" s="64">
        <v>22822.799999999999</v>
      </c>
      <c r="BH89" s="64"/>
      <c r="BI89" s="134">
        <v>0</v>
      </c>
      <c r="BJ89" s="64"/>
      <c r="BK89" s="64"/>
      <c r="BL89" s="142">
        <v>1285983.3699999999</v>
      </c>
      <c r="BM89" s="64">
        <v>177261.30419965999</v>
      </c>
      <c r="BN89" s="64">
        <v>182485.03599999999</v>
      </c>
      <c r="BO89" s="64">
        <v>162417.93355968021</v>
      </c>
      <c r="BP89" s="64">
        <v>1645729.7101996599</v>
      </c>
      <c r="BQ89" s="64">
        <v>1645729.7101996602</v>
      </c>
      <c r="BR89" s="64">
        <v>0</v>
      </c>
      <c r="BS89" s="64">
        <v>1463244.6741996598</v>
      </c>
      <c r="BT89" s="64">
        <v>4861.2779873742847</v>
      </c>
      <c r="BU89" s="64">
        <v>4765.2940641025643</v>
      </c>
      <c r="BV89" s="148">
        <v>2.0142287544178412E-2</v>
      </c>
      <c r="BW89" s="148">
        <v>0</v>
      </c>
      <c r="BX89" s="64">
        <v>0</v>
      </c>
      <c r="BY89" s="219">
        <v>1645729.7101996599</v>
      </c>
      <c r="BZ89" s="64">
        <v>385.28000000000003</v>
      </c>
      <c r="CA89" s="64">
        <v>3317.02</v>
      </c>
      <c r="CB89" s="188">
        <v>1642027.4101996599</v>
      </c>
      <c r="CC89" s="2"/>
      <c r="CD89" s="212">
        <f>IFERROR(VLOOKUP(B89,#REF!,29,0),0)</f>
        <v>0</v>
      </c>
      <c r="CE89" s="193">
        <f>IFERROR(VLOOKUP(B89,#REF!,28,0),0)</f>
        <v>0</v>
      </c>
      <c r="CF89" s="142"/>
      <c r="CG89" s="194"/>
      <c r="CH89" s="229">
        <v>0</v>
      </c>
      <c r="CI89" s="229">
        <v>0</v>
      </c>
      <c r="CJ89" s="226">
        <v>59600</v>
      </c>
      <c r="CL89" s="401">
        <v>48840</v>
      </c>
      <c r="CM89" s="402">
        <v>2345</v>
      </c>
      <c r="CN89" s="402">
        <v>15180</v>
      </c>
      <c r="CO89" s="402">
        <v>8054</v>
      </c>
      <c r="CP89" s="402">
        <v>36166.5</v>
      </c>
      <c r="CQ89" s="402">
        <v>104882.84999999999</v>
      </c>
      <c r="CR89" s="402">
        <v>0</v>
      </c>
      <c r="CS89" s="402">
        <v>7746.25</v>
      </c>
      <c r="CT89" s="206"/>
      <c r="CU89" s="195"/>
      <c r="CV89" s="2"/>
    </row>
    <row r="90" spans="1:100" ht="14" hidden="1" x14ac:dyDescent="0.25">
      <c r="A90" s="32">
        <v>3122049</v>
      </c>
      <c r="B90" s="184">
        <v>2049</v>
      </c>
      <c r="C90" s="179" t="s">
        <v>185</v>
      </c>
      <c r="D90" s="124">
        <v>534</v>
      </c>
      <c r="E90" s="124">
        <v>534</v>
      </c>
      <c r="F90" s="124">
        <v>0</v>
      </c>
      <c r="G90" s="124">
        <v>0</v>
      </c>
      <c r="H90" s="124">
        <v>0</v>
      </c>
      <c r="I90" s="124">
        <f t="shared" si="44"/>
        <v>155.99999999999991</v>
      </c>
      <c r="J90" s="124">
        <f t="shared" si="45"/>
        <v>0</v>
      </c>
      <c r="K90" s="124">
        <f t="shared" si="46"/>
        <v>157.99999999999994</v>
      </c>
      <c r="L90" s="124">
        <f t="shared" si="47"/>
        <v>0</v>
      </c>
      <c r="M90" s="124">
        <f t="shared" si="48"/>
        <v>91.000000000000227</v>
      </c>
      <c r="N90" s="124">
        <f t="shared" si="49"/>
        <v>168.00000000000014</v>
      </c>
      <c r="O90" s="124">
        <f t="shared" si="50"/>
        <v>4.9999999999999982</v>
      </c>
      <c r="P90" s="124">
        <f t="shared" si="51"/>
        <v>3.0000000000000013</v>
      </c>
      <c r="Q90" s="124">
        <f t="shared" si="52"/>
        <v>0</v>
      </c>
      <c r="R90" s="124">
        <f t="shared" si="53"/>
        <v>0</v>
      </c>
      <c r="S90" s="124">
        <f t="shared" si="54"/>
        <v>0</v>
      </c>
      <c r="T90" s="124">
        <f t="shared" si="55"/>
        <v>0</v>
      </c>
      <c r="U90" s="124">
        <f t="shared" si="56"/>
        <v>0</v>
      </c>
      <c r="V90" s="124">
        <f t="shared" si="57"/>
        <v>0</v>
      </c>
      <c r="W90" s="124">
        <f t="shared" si="58"/>
        <v>0</v>
      </c>
      <c r="X90" s="124">
        <f t="shared" si="59"/>
        <v>0</v>
      </c>
      <c r="Y90" s="124">
        <f t="shared" si="60"/>
        <v>268.74509803921563</v>
      </c>
      <c r="Z90" s="124">
        <f t="shared" si="61"/>
        <v>0</v>
      </c>
      <c r="AA90" s="124">
        <f t="shared" si="62"/>
        <v>168.66022830286246</v>
      </c>
      <c r="AB90" s="124">
        <f t="shared" si="63"/>
        <v>0</v>
      </c>
      <c r="AC90" s="124">
        <f t="shared" si="64"/>
        <v>25.96000000000009</v>
      </c>
      <c r="AD90" s="124">
        <f t="shared" si="65"/>
        <v>0</v>
      </c>
      <c r="AE90" s="127">
        <v>2281445.58</v>
      </c>
      <c r="AF90" s="63">
        <v>0</v>
      </c>
      <c r="AG90" s="130">
        <v>0</v>
      </c>
      <c r="AH90" s="130">
        <v>84970.079999999944</v>
      </c>
      <c r="AI90" s="130">
        <v>0</v>
      </c>
      <c r="AJ90" s="130">
        <v>184288.29279999994</v>
      </c>
      <c r="AK90" s="130">
        <v>0</v>
      </c>
      <c r="AL90" s="130">
        <v>23531.198600000062</v>
      </c>
      <c r="AM90" s="130">
        <v>52685.236800000042</v>
      </c>
      <c r="AN90" s="134">
        <v>2448.300999999999</v>
      </c>
      <c r="AO90" s="64">
        <v>1617.5292000000006</v>
      </c>
      <c r="AP90" s="64">
        <v>0</v>
      </c>
      <c r="AQ90" s="64">
        <v>0</v>
      </c>
      <c r="AR90" s="64">
        <v>0</v>
      </c>
      <c r="AS90" s="64">
        <v>0</v>
      </c>
      <c r="AT90" s="64">
        <v>0</v>
      </c>
      <c r="AU90" s="64">
        <v>0</v>
      </c>
      <c r="AV90" s="64">
        <v>0</v>
      </c>
      <c r="AW90" s="64">
        <v>0</v>
      </c>
      <c r="AX90" s="64">
        <v>175950.10313725489</v>
      </c>
      <c r="AY90" s="64">
        <v>0</v>
      </c>
      <c r="AZ90" s="64">
        <v>218064.18237733695</v>
      </c>
      <c r="BA90" s="64">
        <v>0</v>
      </c>
      <c r="BB90" s="64">
        <v>27565.626000000091</v>
      </c>
      <c r="BC90" s="64">
        <v>0</v>
      </c>
      <c r="BD90" s="64">
        <v>0</v>
      </c>
      <c r="BE90" s="64"/>
      <c r="BF90" s="64">
        <v>159662.24</v>
      </c>
      <c r="BG90" s="64">
        <v>10782.72</v>
      </c>
      <c r="BH90" s="64"/>
      <c r="BI90" s="134">
        <v>0</v>
      </c>
      <c r="BJ90" s="64"/>
      <c r="BK90" s="64"/>
      <c r="BL90" s="142">
        <v>2281445.58</v>
      </c>
      <c r="BM90" s="64">
        <v>771120.54991459183</v>
      </c>
      <c r="BN90" s="64">
        <v>170444.95600000001</v>
      </c>
      <c r="BO90" s="64">
        <v>417038.4390066968</v>
      </c>
      <c r="BP90" s="64">
        <v>3223011.0859145923</v>
      </c>
      <c r="BQ90" s="64">
        <v>3223011.0859145923</v>
      </c>
      <c r="BR90" s="64">
        <v>0</v>
      </c>
      <c r="BS90" s="64">
        <v>3052566.129914592</v>
      </c>
      <c r="BT90" s="64">
        <v>5716.4159736228312</v>
      </c>
      <c r="BU90" s="64">
        <v>5653.6425419354837</v>
      </c>
      <c r="BV90" s="148">
        <v>1.1103183694711884E-2</v>
      </c>
      <c r="BW90" s="148">
        <v>0</v>
      </c>
      <c r="BX90" s="64">
        <v>0</v>
      </c>
      <c r="BY90" s="219">
        <v>3223011.0859145923</v>
      </c>
      <c r="BZ90" s="64">
        <v>0</v>
      </c>
      <c r="CA90" s="64">
        <v>0</v>
      </c>
      <c r="CB90" s="188">
        <v>3223011.0859145923</v>
      </c>
      <c r="CC90" s="2"/>
      <c r="CD90" s="212">
        <f>IFERROR(VLOOKUP(B90,#REF!,29,0),0)</f>
        <v>0</v>
      </c>
      <c r="CE90" s="193">
        <f>IFERROR(VLOOKUP(B90,#REF!,28,0),0)</f>
        <v>0</v>
      </c>
      <c r="CF90" s="142"/>
      <c r="CG90" s="194"/>
      <c r="CH90" s="229">
        <v>0</v>
      </c>
      <c r="CI90" s="229">
        <v>0</v>
      </c>
      <c r="CJ90" s="226">
        <v>115987</v>
      </c>
      <c r="CL90" s="401">
        <v>0</v>
      </c>
      <c r="CM90" s="402">
        <v>0</v>
      </c>
      <c r="CN90" s="402">
        <v>0</v>
      </c>
      <c r="CO90" s="402">
        <v>0</v>
      </c>
      <c r="CP90" s="402">
        <v>25778.25</v>
      </c>
      <c r="CQ90" s="402">
        <v>74756.924999999988</v>
      </c>
      <c r="CR90" s="402">
        <v>0</v>
      </c>
      <c r="CS90" s="402">
        <v>0</v>
      </c>
      <c r="CT90" s="206"/>
      <c r="CU90" s="195"/>
      <c r="CV90" s="2"/>
    </row>
    <row r="91" spans="1:100" ht="14" hidden="1" x14ac:dyDescent="0.25">
      <c r="A91" s="32">
        <v>3122082</v>
      </c>
      <c r="B91" s="184">
        <v>2082</v>
      </c>
      <c r="C91" s="179" t="s">
        <v>291</v>
      </c>
      <c r="D91" s="124">
        <v>862</v>
      </c>
      <c r="E91" s="124">
        <v>862</v>
      </c>
      <c r="F91" s="124">
        <v>0</v>
      </c>
      <c r="G91" s="124">
        <v>0</v>
      </c>
      <c r="H91" s="124">
        <v>0</v>
      </c>
      <c r="I91" s="124">
        <f t="shared" si="44"/>
        <v>230.99999999999983</v>
      </c>
      <c r="J91" s="124">
        <f t="shared" si="45"/>
        <v>0</v>
      </c>
      <c r="K91" s="124">
        <f t="shared" si="46"/>
        <v>237.00000000000017</v>
      </c>
      <c r="L91" s="124">
        <f t="shared" si="47"/>
        <v>0</v>
      </c>
      <c r="M91" s="124">
        <f t="shared" si="48"/>
        <v>304.4125874125873</v>
      </c>
      <c r="N91" s="124">
        <f t="shared" si="49"/>
        <v>320.48717948717962</v>
      </c>
      <c r="O91" s="124">
        <f t="shared" si="50"/>
        <v>3.0139860139860168</v>
      </c>
      <c r="P91" s="124">
        <f t="shared" si="51"/>
        <v>2.0093240093240086</v>
      </c>
      <c r="Q91" s="124">
        <f t="shared" si="52"/>
        <v>1.0046620046620085</v>
      </c>
      <c r="R91" s="124">
        <f t="shared" si="53"/>
        <v>0</v>
      </c>
      <c r="S91" s="124">
        <f t="shared" si="54"/>
        <v>0</v>
      </c>
      <c r="T91" s="124">
        <f t="shared" si="55"/>
        <v>0</v>
      </c>
      <c r="U91" s="124">
        <f t="shared" si="56"/>
        <v>0</v>
      </c>
      <c r="V91" s="124">
        <f t="shared" si="57"/>
        <v>0</v>
      </c>
      <c r="W91" s="124">
        <f t="shared" si="58"/>
        <v>0</v>
      </c>
      <c r="X91" s="124">
        <f t="shared" si="59"/>
        <v>0</v>
      </c>
      <c r="Y91" s="124">
        <f t="shared" si="60"/>
        <v>335.34725848563994</v>
      </c>
      <c r="Z91" s="124">
        <f t="shared" si="61"/>
        <v>0</v>
      </c>
      <c r="AA91" s="124">
        <f t="shared" si="62"/>
        <v>232.06541821789975</v>
      </c>
      <c r="AB91" s="124">
        <f t="shared" si="63"/>
        <v>0</v>
      </c>
      <c r="AC91" s="124">
        <f t="shared" si="64"/>
        <v>44.391498257839508</v>
      </c>
      <c r="AD91" s="124">
        <f t="shared" si="65"/>
        <v>0</v>
      </c>
      <c r="AE91" s="127">
        <v>3682782.94</v>
      </c>
      <c r="AF91" s="63">
        <v>0</v>
      </c>
      <c r="AG91" s="130">
        <v>0</v>
      </c>
      <c r="AH91" s="130">
        <v>125821.0799999999</v>
      </c>
      <c r="AI91" s="130">
        <v>0</v>
      </c>
      <c r="AJ91" s="130">
        <v>276432.4392000002</v>
      </c>
      <c r="AK91" s="130">
        <v>0</v>
      </c>
      <c r="AL91" s="130">
        <v>78716.40715104893</v>
      </c>
      <c r="AM91" s="130">
        <v>100505.61275384619</v>
      </c>
      <c r="AN91" s="134">
        <v>1475.8289944055957</v>
      </c>
      <c r="AO91" s="64">
        <v>1083.3800857808853</v>
      </c>
      <c r="AP91" s="64">
        <v>574.8547393939416</v>
      </c>
      <c r="AQ91" s="64">
        <v>0</v>
      </c>
      <c r="AR91" s="64">
        <v>0</v>
      </c>
      <c r="AS91" s="64">
        <v>0</v>
      </c>
      <c r="AT91" s="64">
        <v>0</v>
      </c>
      <c r="AU91" s="64">
        <v>0</v>
      </c>
      <c r="AV91" s="64">
        <v>0</v>
      </c>
      <c r="AW91" s="64">
        <v>0</v>
      </c>
      <c r="AX91" s="64">
        <v>219555.20360313333</v>
      </c>
      <c r="AY91" s="64">
        <v>0</v>
      </c>
      <c r="AZ91" s="64">
        <v>300042.02052228694</v>
      </c>
      <c r="BA91" s="64">
        <v>0</v>
      </c>
      <c r="BB91" s="64">
        <v>47137.112425086874</v>
      </c>
      <c r="BC91" s="64">
        <v>0</v>
      </c>
      <c r="BD91" s="64">
        <v>0</v>
      </c>
      <c r="BE91" s="64"/>
      <c r="BF91" s="64">
        <v>159662.24</v>
      </c>
      <c r="BG91" s="64">
        <v>19004.96</v>
      </c>
      <c r="BH91" s="64"/>
      <c r="BI91" s="134">
        <v>0</v>
      </c>
      <c r="BJ91" s="64"/>
      <c r="BK91" s="64"/>
      <c r="BL91" s="142">
        <v>3682782.94</v>
      </c>
      <c r="BM91" s="64">
        <v>1151343.9394749827</v>
      </c>
      <c r="BN91" s="64">
        <v>178667.196</v>
      </c>
      <c r="BO91" s="64">
        <v>635466.70341547939</v>
      </c>
      <c r="BP91" s="64">
        <v>5012794.0754749831</v>
      </c>
      <c r="BQ91" s="64">
        <v>5012794.0754749831</v>
      </c>
      <c r="BR91" s="64">
        <v>0</v>
      </c>
      <c r="BS91" s="64">
        <v>4834126.8794749836</v>
      </c>
      <c r="BT91" s="64">
        <v>5608.0358230568254</v>
      </c>
      <c r="BU91" s="64">
        <v>5511.0372579418354</v>
      </c>
      <c r="BV91" s="148">
        <v>1.760078195356192E-2</v>
      </c>
      <c r="BW91" s="148">
        <v>0</v>
      </c>
      <c r="BX91" s="64">
        <v>0</v>
      </c>
      <c r="BY91" s="219">
        <v>5012794.0754749831</v>
      </c>
      <c r="BZ91" s="64">
        <v>0</v>
      </c>
      <c r="CA91" s="64">
        <v>0</v>
      </c>
      <c r="CB91" s="188">
        <v>5012794.0754749831</v>
      </c>
      <c r="CC91" s="2"/>
      <c r="CD91" s="212">
        <f>IFERROR(VLOOKUP(B91,#REF!,29,0),0)</f>
        <v>0</v>
      </c>
      <c r="CE91" s="193">
        <f>IFERROR(VLOOKUP(B91,#REF!,28,0),0)</f>
        <v>0</v>
      </c>
      <c r="CF91" s="142"/>
      <c r="CG91" s="194"/>
      <c r="CH91" s="229">
        <v>0</v>
      </c>
      <c r="CI91" s="229">
        <v>144000</v>
      </c>
      <c r="CJ91" s="226">
        <v>111235</v>
      </c>
      <c r="CL91" s="401">
        <v>0</v>
      </c>
      <c r="CM91" s="402">
        <v>0</v>
      </c>
      <c r="CN91" s="402">
        <v>0</v>
      </c>
      <c r="CO91" s="402">
        <v>0</v>
      </c>
      <c r="CP91" s="402">
        <v>45913.5</v>
      </c>
      <c r="CQ91" s="402">
        <v>133149.15000000002</v>
      </c>
      <c r="CR91" s="402">
        <v>0</v>
      </c>
      <c r="CS91" s="402">
        <v>0</v>
      </c>
      <c r="CT91" s="206"/>
      <c r="CU91" s="195"/>
      <c r="CV91" s="2"/>
    </row>
    <row r="92" spans="1:100" ht="14" x14ac:dyDescent="0.25">
      <c r="A92" s="32">
        <v>3122060</v>
      </c>
      <c r="B92" s="184">
        <v>2060</v>
      </c>
      <c r="C92" s="179" t="s">
        <v>292</v>
      </c>
      <c r="D92" s="124">
        <v>340</v>
      </c>
      <c r="E92" s="124">
        <v>340</v>
      </c>
      <c r="F92" s="124">
        <v>0</v>
      </c>
      <c r="G92" s="124">
        <v>0</v>
      </c>
      <c r="H92" s="124">
        <v>0</v>
      </c>
      <c r="I92" s="124">
        <f t="shared" si="44"/>
        <v>75.000000000000114</v>
      </c>
      <c r="J92" s="124">
        <f t="shared" si="45"/>
        <v>0</v>
      </c>
      <c r="K92" s="124">
        <f t="shared" si="46"/>
        <v>76.000000000000043</v>
      </c>
      <c r="L92" s="124">
        <f t="shared" si="47"/>
        <v>0</v>
      </c>
      <c r="M92" s="124">
        <f t="shared" si="48"/>
        <v>98.999999999999901</v>
      </c>
      <c r="N92" s="124">
        <f t="shared" si="49"/>
        <v>72.999999999999943</v>
      </c>
      <c r="O92" s="124">
        <f t="shared" si="50"/>
        <v>5.9999999999999964</v>
      </c>
      <c r="P92" s="124">
        <f t="shared" si="51"/>
        <v>1.0000000000000016</v>
      </c>
      <c r="Q92" s="124">
        <f t="shared" si="52"/>
        <v>17.999999999999989</v>
      </c>
      <c r="R92" s="124">
        <f t="shared" si="53"/>
        <v>0</v>
      </c>
      <c r="S92" s="124">
        <f t="shared" si="54"/>
        <v>0</v>
      </c>
      <c r="T92" s="124">
        <f t="shared" si="55"/>
        <v>0</v>
      </c>
      <c r="U92" s="124">
        <f t="shared" si="56"/>
        <v>0</v>
      </c>
      <c r="V92" s="124">
        <f t="shared" si="57"/>
        <v>0</v>
      </c>
      <c r="W92" s="124">
        <f t="shared" si="58"/>
        <v>0</v>
      </c>
      <c r="X92" s="124">
        <f t="shared" si="59"/>
        <v>0</v>
      </c>
      <c r="Y92" s="124">
        <f t="shared" si="60"/>
        <v>259.99999999999994</v>
      </c>
      <c r="Z92" s="124">
        <f t="shared" si="61"/>
        <v>0</v>
      </c>
      <c r="AA92" s="124">
        <f t="shared" si="62"/>
        <v>125.92621811552604</v>
      </c>
      <c r="AB92" s="124">
        <f t="shared" si="63"/>
        <v>0</v>
      </c>
      <c r="AC92" s="124">
        <f t="shared" si="64"/>
        <v>0</v>
      </c>
      <c r="AD92" s="124">
        <f t="shared" si="65"/>
        <v>0</v>
      </c>
      <c r="AE92" s="127">
        <v>1452605.8</v>
      </c>
      <c r="AF92" s="63">
        <v>0</v>
      </c>
      <c r="AG92" s="130">
        <v>0</v>
      </c>
      <c r="AH92" s="130">
        <v>40851.000000000058</v>
      </c>
      <c r="AI92" s="130">
        <v>0</v>
      </c>
      <c r="AJ92" s="130">
        <v>88645.001600000047</v>
      </c>
      <c r="AK92" s="130">
        <v>0</v>
      </c>
      <c r="AL92" s="130">
        <v>25599.875399999975</v>
      </c>
      <c r="AM92" s="130">
        <v>22892.989799999981</v>
      </c>
      <c r="AN92" s="134">
        <v>2937.9611999999979</v>
      </c>
      <c r="AO92" s="64">
        <v>539.17640000000074</v>
      </c>
      <c r="AP92" s="64">
        <v>10299.369599999993</v>
      </c>
      <c r="AQ92" s="64">
        <v>0</v>
      </c>
      <c r="AR92" s="64">
        <v>0</v>
      </c>
      <c r="AS92" s="64">
        <v>0</v>
      </c>
      <c r="AT92" s="64">
        <v>0</v>
      </c>
      <c r="AU92" s="64">
        <v>0</v>
      </c>
      <c r="AV92" s="64">
        <v>0</v>
      </c>
      <c r="AW92" s="64">
        <v>0</v>
      </c>
      <c r="AX92" s="64">
        <v>170224.59999999998</v>
      </c>
      <c r="AY92" s="64">
        <v>0</v>
      </c>
      <c r="AZ92" s="64">
        <v>162812.52592592593</v>
      </c>
      <c r="BA92" s="64">
        <v>0</v>
      </c>
      <c r="BB92" s="64">
        <v>0</v>
      </c>
      <c r="BC92" s="64">
        <v>0</v>
      </c>
      <c r="BD92" s="64">
        <v>0</v>
      </c>
      <c r="BE92" s="64">
        <v>159662.24</v>
      </c>
      <c r="BF92" s="64"/>
      <c r="BG92" s="64">
        <v>46752.160000000003</v>
      </c>
      <c r="BH92" s="64"/>
      <c r="BI92" s="134">
        <v>0</v>
      </c>
      <c r="BJ92" s="64"/>
      <c r="BK92" s="64"/>
      <c r="BL92" s="142">
        <v>1452605.8</v>
      </c>
      <c r="BM92" s="64">
        <v>524802.49992592598</v>
      </c>
      <c r="BN92" s="64">
        <v>206414.39600000001</v>
      </c>
      <c r="BO92" s="64">
        <v>279156.5542023704</v>
      </c>
      <c r="BP92" s="64">
        <v>2183822.6959259263</v>
      </c>
      <c r="BQ92" s="64">
        <v>2183822.6959259263</v>
      </c>
      <c r="BR92" s="64">
        <v>0</v>
      </c>
      <c r="BS92" s="64">
        <v>1977408.2999259264</v>
      </c>
      <c r="BT92" s="64">
        <v>5815.9067644880188</v>
      </c>
      <c r="BU92" s="64">
        <v>5951.2311401759516</v>
      </c>
      <c r="BV92" s="148">
        <v>-2.2738887551245725E-2</v>
      </c>
      <c r="BW92" s="148">
        <v>2.2738887551245725E-2</v>
      </c>
      <c r="BX92" s="64">
        <v>46010.287733897167</v>
      </c>
      <c r="BY92" s="219">
        <v>2229832.9836598234</v>
      </c>
      <c r="BZ92" s="64">
        <v>435.2</v>
      </c>
      <c r="CA92" s="64">
        <v>3746.7999999999997</v>
      </c>
      <c r="CB92" s="188">
        <v>2225650.9836598234</v>
      </c>
      <c r="CC92" s="2"/>
      <c r="CD92" s="212">
        <f>IFERROR(VLOOKUP(B92,#REF!,29,0),0)</f>
        <v>0</v>
      </c>
      <c r="CE92" s="193">
        <f>IFERROR(VLOOKUP(B92,#REF!,28,0),0)</f>
        <v>0</v>
      </c>
      <c r="CF92" s="142"/>
      <c r="CG92" s="194"/>
      <c r="CH92" s="229">
        <v>0</v>
      </c>
      <c r="CI92" s="229">
        <v>0</v>
      </c>
      <c r="CJ92" s="226">
        <v>84477</v>
      </c>
      <c r="CL92" s="401">
        <v>131720</v>
      </c>
      <c r="CM92" s="402" t="s">
        <v>266</v>
      </c>
      <c r="CN92" s="402">
        <v>5060</v>
      </c>
      <c r="CO92" s="402">
        <v>7612</v>
      </c>
      <c r="CP92" s="402">
        <v>0</v>
      </c>
      <c r="CQ92" s="402">
        <v>0</v>
      </c>
      <c r="CR92" s="402">
        <v>116667.59999999999</v>
      </c>
      <c r="CS92" s="402">
        <v>8668.75</v>
      </c>
      <c r="CT92" s="206"/>
      <c r="CU92" s="195"/>
      <c r="CV92" s="2"/>
    </row>
    <row r="93" spans="1:100" ht="14.5" thickBot="1" x14ac:dyDescent="0.3">
      <c r="A93" s="32">
        <v>3122059</v>
      </c>
      <c r="B93" s="184">
        <v>2059</v>
      </c>
      <c r="C93" s="182" t="s">
        <v>188</v>
      </c>
      <c r="D93" s="125">
        <v>450</v>
      </c>
      <c r="E93" s="125">
        <v>450</v>
      </c>
      <c r="F93" s="125">
        <v>0</v>
      </c>
      <c r="G93" s="125">
        <v>0</v>
      </c>
      <c r="H93" s="125">
        <v>0</v>
      </c>
      <c r="I93" s="124">
        <f t="shared" si="44"/>
        <v>175.00000000000006</v>
      </c>
      <c r="J93" s="124">
        <f t="shared" si="45"/>
        <v>0</v>
      </c>
      <c r="K93" s="124">
        <f t="shared" si="46"/>
        <v>175.00000000000006</v>
      </c>
      <c r="L93" s="124">
        <f t="shared" si="47"/>
        <v>0</v>
      </c>
      <c r="M93" s="124">
        <f t="shared" si="48"/>
        <v>143.00000000000009</v>
      </c>
      <c r="N93" s="124">
        <f t="shared" si="49"/>
        <v>99</v>
      </c>
      <c r="O93" s="124">
        <f t="shared" si="50"/>
        <v>3.0000000000000013</v>
      </c>
      <c r="P93" s="124">
        <f t="shared" si="51"/>
        <v>0.999999999999999</v>
      </c>
      <c r="Q93" s="124">
        <f t="shared" si="52"/>
        <v>18.999999999999993</v>
      </c>
      <c r="R93" s="124">
        <f t="shared" si="53"/>
        <v>0</v>
      </c>
      <c r="S93" s="124">
        <f t="shared" si="54"/>
        <v>0</v>
      </c>
      <c r="T93" s="124">
        <f t="shared" si="55"/>
        <v>0</v>
      </c>
      <c r="U93" s="124">
        <f t="shared" si="56"/>
        <v>0</v>
      </c>
      <c r="V93" s="124">
        <f t="shared" si="57"/>
        <v>0</v>
      </c>
      <c r="W93" s="124">
        <f t="shared" si="58"/>
        <v>0</v>
      </c>
      <c r="X93" s="124">
        <f t="shared" si="59"/>
        <v>0</v>
      </c>
      <c r="Y93" s="124">
        <f t="shared" si="60"/>
        <v>139.99999999999994</v>
      </c>
      <c r="Z93" s="124">
        <f t="shared" si="61"/>
        <v>0</v>
      </c>
      <c r="AA93" s="124">
        <f t="shared" si="62"/>
        <v>104.15710782601141</v>
      </c>
      <c r="AB93" s="124">
        <f t="shared" si="63"/>
        <v>0</v>
      </c>
      <c r="AC93" s="124">
        <f t="shared" si="64"/>
        <v>0.99999999999999079</v>
      </c>
      <c r="AD93" s="124">
        <f t="shared" si="65"/>
        <v>0</v>
      </c>
      <c r="AE93" s="128">
        <v>1922566.5</v>
      </c>
      <c r="AF93" s="65">
        <v>0</v>
      </c>
      <c r="AG93" s="131">
        <v>0</v>
      </c>
      <c r="AH93" s="131">
        <v>95319.000000000029</v>
      </c>
      <c r="AI93" s="131">
        <v>0</v>
      </c>
      <c r="AJ93" s="131">
        <v>204116.78000000006</v>
      </c>
      <c r="AK93" s="131">
        <v>0</v>
      </c>
      <c r="AL93" s="131">
        <v>36977.597800000025</v>
      </c>
      <c r="AM93" s="131">
        <v>31046.6574</v>
      </c>
      <c r="AN93" s="135">
        <v>1468.9806000000005</v>
      </c>
      <c r="AO93" s="66">
        <v>539.17639999999938</v>
      </c>
      <c r="AP93" s="66">
        <v>10871.556799999995</v>
      </c>
      <c r="AQ93" s="66">
        <v>0</v>
      </c>
      <c r="AR93" s="66">
        <v>0</v>
      </c>
      <c r="AS93" s="66">
        <v>0</v>
      </c>
      <c r="AT93" s="66">
        <v>0</v>
      </c>
      <c r="AU93" s="66">
        <v>0</v>
      </c>
      <c r="AV93" s="66">
        <v>0</v>
      </c>
      <c r="AW93" s="66">
        <v>0</v>
      </c>
      <c r="AX93" s="66">
        <v>91659.399999999965</v>
      </c>
      <c r="AY93" s="66">
        <v>0</v>
      </c>
      <c r="AZ93" s="66">
        <v>134666.80785040668</v>
      </c>
      <c r="BA93" s="66">
        <v>0</v>
      </c>
      <c r="BB93" s="66">
        <v>1061.8499999999901</v>
      </c>
      <c r="BC93" s="66">
        <v>0</v>
      </c>
      <c r="BD93" s="66">
        <v>0</v>
      </c>
      <c r="BE93" s="66">
        <v>159662.24</v>
      </c>
      <c r="BF93" s="66"/>
      <c r="BG93" s="66">
        <v>46876.959999999999</v>
      </c>
      <c r="BH93" s="66"/>
      <c r="BI93" s="135">
        <v>0</v>
      </c>
      <c r="BJ93" s="66"/>
      <c r="BK93" s="66"/>
      <c r="BL93" s="143">
        <v>1922566.5</v>
      </c>
      <c r="BM93" s="66">
        <v>607727.80685040681</v>
      </c>
      <c r="BN93" s="66">
        <v>206539.196</v>
      </c>
      <c r="BO93" s="66">
        <v>330157.16616138228</v>
      </c>
      <c r="BP93" s="66">
        <v>2736833.5028504068</v>
      </c>
      <c r="BQ93" s="66">
        <v>2736833.5028504068</v>
      </c>
      <c r="BR93" s="66">
        <v>0</v>
      </c>
      <c r="BS93" s="66">
        <v>2530294.3068504068</v>
      </c>
      <c r="BT93" s="66">
        <v>5622.8762374453481</v>
      </c>
      <c r="BU93" s="66">
        <v>5722.5058930131008</v>
      </c>
      <c r="BV93" s="149">
        <v>-1.7410144686682741E-2</v>
      </c>
      <c r="BW93" s="149">
        <v>1.7410144686682741E-2</v>
      </c>
      <c r="BX93" s="66">
        <v>44833.345005488722</v>
      </c>
      <c r="BY93" s="220">
        <v>2781666.8478558958</v>
      </c>
      <c r="BZ93" s="66">
        <v>576</v>
      </c>
      <c r="CA93" s="66">
        <v>4959</v>
      </c>
      <c r="CB93" s="189">
        <v>2776131.8478558958</v>
      </c>
      <c r="CC93" s="2"/>
      <c r="CD93" s="215">
        <f>IFERROR(VLOOKUP(B93,#REF!,29,0),0)</f>
        <v>0</v>
      </c>
      <c r="CE93" s="199">
        <f>IFERROR(VLOOKUP(B93,#REF!,28,0),0)</f>
        <v>0</v>
      </c>
      <c r="CF93" s="66"/>
      <c r="CG93" s="200"/>
      <c r="CH93" s="230">
        <v>0</v>
      </c>
      <c r="CI93" s="230">
        <v>0</v>
      </c>
      <c r="CJ93" s="227">
        <v>124765</v>
      </c>
      <c r="CL93" s="403">
        <v>273800</v>
      </c>
      <c r="CM93" s="404" t="s">
        <v>266</v>
      </c>
      <c r="CN93" s="404" t="s">
        <v>266</v>
      </c>
      <c r="CO93" s="404">
        <v>8596</v>
      </c>
      <c r="CP93" s="404">
        <v>35268.75</v>
      </c>
      <c r="CQ93" s="404">
        <v>102279.375</v>
      </c>
      <c r="CR93" s="404">
        <v>0</v>
      </c>
      <c r="CS93" s="404">
        <v>9208.75</v>
      </c>
      <c r="CT93" s="207"/>
      <c r="CU93" s="201"/>
      <c r="CV93" s="2"/>
    </row>
    <row r="94" spans="1:100" ht="13.5" thickBot="1" x14ac:dyDescent="0.3">
      <c r="K94" s="79"/>
      <c r="BP94" s="68"/>
      <c r="BQ94" s="68"/>
      <c r="BR94" s="68"/>
      <c r="BS94" s="68"/>
      <c r="BT94" s="68"/>
      <c r="BU94" s="68"/>
      <c r="BW94" s="68"/>
      <c r="BX94" s="68"/>
      <c r="BZ94" s="68"/>
      <c r="CA94" s="68"/>
      <c r="CD94" s="202"/>
      <c r="CE94" s="202"/>
      <c r="CF94" s="202"/>
      <c r="CG94" s="202"/>
      <c r="CH94" s="202"/>
      <c r="CI94" s="202"/>
      <c r="CJ94" s="32"/>
      <c r="CL94" s="260"/>
      <c r="CM94" s="260"/>
      <c r="CN94" s="260"/>
      <c r="CO94" s="260"/>
      <c r="CP94" s="260"/>
      <c r="CQ94" s="260"/>
      <c r="CR94" s="260"/>
      <c r="CS94" s="260"/>
      <c r="CT94" s="205"/>
      <c r="CU94" s="205"/>
    </row>
    <row r="95" spans="1:100" s="118" customFormat="1" ht="13.5" thickBot="1" x14ac:dyDescent="0.35">
      <c r="D95" s="185">
        <f>SUM(D5:D93)</f>
        <v>44544</v>
      </c>
      <c r="E95" s="185">
        <f t="shared" ref="E95:AD95" si="66">SUM(E5:E93)</f>
        <v>26422</v>
      </c>
      <c r="F95" s="185">
        <f t="shared" si="66"/>
        <v>18122</v>
      </c>
      <c r="G95" s="185">
        <f t="shared" si="66"/>
        <v>10706</v>
      </c>
      <c r="H95" s="185">
        <f t="shared" si="66"/>
        <v>7416</v>
      </c>
      <c r="I95" s="185">
        <f t="shared" si="66"/>
        <v>5713</v>
      </c>
      <c r="J95" s="185">
        <f t="shared" si="66"/>
        <v>4536</v>
      </c>
      <c r="K95" s="185">
        <f t="shared" si="66"/>
        <v>5881</v>
      </c>
      <c r="L95" s="185">
        <f t="shared" si="66"/>
        <v>5155.9999999999991</v>
      </c>
      <c r="M95" s="185">
        <f t="shared" si="66"/>
        <v>6125.5101564763527</v>
      </c>
      <c r="N95" s="185">
        <f t="shared" si="66"/>
        <v>5498.1559913239098</v>
      </c>
      <c r="O95" s="185">
        <f t="shared" si="66"/>
        <v>727.55897095856642</v>
      </c>
      <c r="P95" s="185">
        <f t="shared" si="66"/>
        <v>397.30124445460757</v>
      </c>
      <c r="Q95" s="185">
        <f t="shared" si="66"/>
        <v>124.03675107276703</v>
      </c>
      <c r="R95" s="185">
        <f t="shared" si="66"/>
        <v>1.0000000000000022</v>
      </c>
      <c r="S95" s="185">
        <f t="shared" si="66"/>
        <v>4073.3528185614728</v>
      </c>
      <c r="T95" s="185">
        <f t="shared" si="66"/>
        <v>3534.0040769681827</v>
      </c>
      <c r="U95" s="185">
        <f t="shared" si="66"/>
        <v>562.23987397177825</v>
      </c>
      <c r="V95" s="185">
        <f t="shared" si="66"/>
        <v>299.08789933816746</v>
      </c>
      <c r="W95" s="185">
        <f t="shared" si="66"/>
        <v>111.03172739540582</v>
      </c>
      <c r="X95" s="185">
        <f t="shared" si="66"/>
        <v>1.9999999999999987</v>
      </c>
      <c r="Y95" s="185">
        <f t="shared" si="66"/>
        <v>7970.4607346528101</v>
      </c>
      <c r="Z95" s="185">
        <f t="shared" si="66"/>
        <v>1127.3767429497732</v>
      </c>
      <c r="AA95" s="185">
        <f t="shared" si="66"/>
        <v>8085.8963599315148</v>
      </c>
      <c r="AB95" s="185">
        <f t="shared" si="66"/>
        <v>3805.6512691016183</v>
      </c>
      <c r="AC95" s="185">
        <f t="shared" si="66"/>
        <v>515.85351698263241</v>
      </c>
      <c r="AD95" s="185">
        <f t="shared" si="66"/>
        <v>122.93025878834459</v>
      </c>
      <c r="AE95" s="186">
        <f t="shared" ref="AE95:AG95" si="67">SUM(AE5:AE93)</f>
        <v>112884560.13999996</v>
      </c>
      <c r="AF95" s="186">
        <f t="shared" si="67"/>
        <v>62587276</v>
      </c>
      <c r="AG95" s="186">
        <f t="shared" si="67"/>
        <v>48871440</v>
      </c>
      <c r="AH95" s="186">
        <f t="shared" ref="AH95:AI95" si="68">SUM(AH5:AH93)</f>
        <v>3111756.8399999989</v>
      </c>
      <c r="AI95" s="186">
        <f t="shared" si="68"/>
        <v>2470668.48</v>
      </c>
      <c r="AJ95" s="186">
        <f t="shared" ref="AJ95:BS95" si="69">SUM(AJ5:AJ93)</f>
        <v>6859490.189600002</v>
      </c>
      <c r="AK95" s="186">
        <f t="shared" si="69"/>
        <v>8822224.3287999965</v>
      </c>
      <c r="AL95" s="186">
        <f t="shared" si="69"/>
        <v>1583962.5936083754</v>
      </c>
      <c r="AM95" s="186">
        <f t="shared" si="69"/>
        <v>1724236.0140847554</v>
      </c>
      <c r="AN95" s="186">
        <f t="shared" si="69"/>
        <v>356256.67123136588</v>
      </c>
      <c r="AO95" s="186">
        <f t="shared" si="69"/>
        <v>214215.45470055513</v>
      </c>
      <c r="AP95" s="186">
        <f t="shared" si="69"/>
        <v>70972.241293423562</v>
      </c>
      <c r="AQ95" s="186">
        <f t="shared" si="69"/>
        <v>753.74660000000165</v>
      </c>
      <c r="AR95" s="186">
        <f t="shared" si="69"/>
        <v>1523932.5325269832</v>
      </c>
      <c r="AS95" s="186">
        <f t="shared" si="69"/>
        <v>1749904.5267597195</v>
      </c>
      <c r="AT95" s="186">
        <f t="shared" si="69"/>
        <v>392853.08000447712</v>
      </c>
      <c r="AU95" s="186">
        <f t="shared" si="69"/>
        <v>228727.53083644339</v>
      </c>
      <c r="AV95" s="186">
        <f t="shared" si="69"/>
        <v>91020.279309822537</v>
      </c>
      <c r="AW95" s="186">
        <f t="shared" si="69"/>
        <v>2090.6839999999988</v>
      </c>
      <c r="AX95" s="186">
        <f t="shared" si="69"/>
        <v>5218340.3475845391</v>
      </c>
      <c r="AY95" s="186">
        <f t="shared" si="69"/>
        <v>1978625.1002488581</v>
      </c>
      <c r="AZ95" s="186">
        <f t="shared" si="69"/>
        <v>10454417.121682653</v>
      </c>
      <c r="BA95" s="186">
        <f t="shared" si="69"/>
        <v>7474831.8836932536</v>
      </c>
      <c r="BB95" s="186">
        <f t="shared" si="69"/>
        <v>547759.05700800812</v>
      </c>
      <c r="BC95" s="186">
        <f t="shared" si="69"/>
        <v>187345.71439343717</v>
      </c>
      <c r="BD95" s="186">
        <f t="shared" si="69"/>
        <v>87793.322960000034</v>
      </c>
      <c r="BE95" s="186">
        <f t="shared" si="69"/>
        <v>10697370.080000011</v>
      </c>
      <c r="BF95" s="186">
        <f t="shared" si="69"/>
        <v>3512569.2800000012</v>
      </c>
      <c r="BG95" s="186">
        <f t="shared" si="69"/>
        <v>3102892.4705999992</v>
      </c>
      <c r="BH95" s="186">
        <f t="shared" si="69"/>
        <v>0</v>
      </c>
      <c r="BI95" s="186">
        <f t="shared" si="69"/>
        <v>85507.342131176512</v>
      </c>
      <c r="BJ95" s="186">
        <f t="shared" si="69"/>
        <v>0</v>
      </c>
      <c r="BK95" s="186">
        <f t="shared" si="69"/>
        <v>29277.666308944579</v>
      </c>
      <c r="BL95" s="186">
        <f t="shared" si="69"/>
        <v>224343276.14000002</v>
      </c>
      <c r="BM95" s="186">
        <f t="shared" si="69"/>
        <v>55064384.417966656</v>
      </c>
      <c r="BN95" s="186">
        <f t="shared" si="69"/>
        <v>17486132.139691178</v>
      </c>
      <c r="BO95" s="186">
        <f t="shared" si="69"/>
        <v>32307967.947913729</v>
      </c>
      <c r="BP95" s="186">
        <f t="shared" si="69"/>
        <v>296893792.69765782</v>
      </c>
      <c r="BQ95" s="186">
        <f t="shared" si="69"/>
        <v>155926296.82968545</v>
      </c>
      <c r="BR95" s="186">
        <f t="shared" si="69"/>
        <v>140996773.53428131</v>
      </c>
      <c r="BS95" s="186">
        <f t="shared" si="69"/>
        <v>279436938.22427565</v>
      </c>
      <c r="BT95" s="186"/>
      <c r="BU95" s="186"/>
      <c r="BV95" s="119"/>
      <c r="BW95" s="186"/>
      <c r="BX95" s="186">
        <f>SUM(BX5:BX93)</f>
        <v>755204.56943616841</v>
      </c>
      <c r="BY95" s="186">
        <f>SUM(BY5:BY93)</f>
        <v>297678274.9334029</v>
      </c>
      <c r="BZ95" s="186">
        <f>SUM(BZ5:BZ93)</f>
        <v>23251.200000000004</v>
      </c>
      <c r="CA95" s="186">
        <f>SUM(CA5:CA93)</f>
        <v>200178.29999999996</v>
      </c>
      <c r="CB95" s="186">
        <f>SUM(CB5:CB93)</f>
        <v>297454845.4334029</v>
      </c>
      <c r="CD95" s="203">
        <f>SUM(CD5:CD93)</f>
        <v>0</v>
      </c>
      <c r="CE95" s="203">
        <f>SUM(CE5:CE93)</f>
        <v>0</v>
      </c>
      <c r="CF95" s="231">
        <f>SUM(CF5:CF93)</f>
        <v>143278.75</v>
      </c>
      <c r="CG95" s="232">
        <f>SUM(CG5:CG93)</f>
        <v>0</v>
      </c>
      <c r="CH95" s="233">
        <f t="shared" ref="CH95:CI95" si="70">SUM(CH5:CH93)</f>
        <v>985500</v>
      </c>
      <c r="CI95" s="233">
        <f t="shared" si="70"/>
        <v>336000</v>
      </c>
      <c r="CJ95" s="234">
        <f>SUM(CJ5:CJ93)</f>
        <v>10893857</v>
      </c>
      <c r="CL95" s="261">
        <f>SUM(CL5:CL93)</f>
        <v>5639430</v>
      </c>
      <c r="CM95" s="261">
        <f t="shared" ref="CM95:CU95" si="71">SUM(CM5:CM93)</f>
        <v>72360</v>
      </c>
      <c r="CN95" s="261">
        <f t="shared" si="71"/>
        <v>204930</v>
      </c>
      <c r="CO95" s="261">
        <f t="shared" si="71"/>
        <v>358572</v>
      </c>
      <c r="CP95" s="261">
        <f t="shared" si="71"/>
        <v>1503504.75</v>
      </c>
      <c r="CQ95" s="261">
        <f t="shared" si="71"/>
        <v>4349290.9499999993</v>
      </c>
      <c r="CR95" s="261">
        <f t="shared" si="71"/>
        <v>2537030.1</v>
      </c>
      <c r="CS95" s="261">
        <f t="shared" si="71"/>
        <v>352823.82</v>
      </c>
      <c r="CT95" s="216">
        <f t="shared" si="71"/>
        <v>0</v>
      </c>
      <c r="CU95" s="217">
        <f t="shared" si="71"/>
        <v>0</v>
      </c>
    </row>
    <row r="97" spans="31:83" x14ac:dyDescent="0.25">
      <c r="AE97" s="222">
        <f>AE95+AF95+AG95</f>
        <v>224343276.13999996</v>
      </c>
      <c r="AH97" s="222">
        <f>SUM(AH95:AW95)</f>
        <v>29203065.193355922</v>
      </c>
      <c r="AX97" s="222">
        <f>SUM(AX95:AY95)</f>
        <v>7196965.4478333974</v>
      </c>
      <c r="AZ97" s="222">
        <f>SUM(AZ95:BA95)</f>
        <v>17929249.005375907</v>
      </c>
      <c r="BA97" s="222"/>
      <c r="BB97" s="222">
        <f>SUM(BB95:BC95)</f>
        <v>735104.77140144526</v>
      </c>
      <c r="BC97" s="222"/>
      <c r="BD97" s="222">
        <f>BD95</f>
        <v>87793.322960000034</v>
      </c>
      <c r="BE97" s="222">
        <f>SUM(BE95:BF95)</f>
        <v>14209939.360000012</v>
      </c>
      <c r="BF97" s="222"/>
      <c r="BG97" s="222">
        <f>BG95</f>
        <v>3102892.4705999992</v>
      </c>
      <c r="BH97" s="222">
        <f>BH95</f>
        <v>0</v>
      </c>
      <c r="BI97" s="222">
        <f t="shared" ref="BI97:BK97" si="72">BI95</f>
        <v>85507.342131176512</v>
      </c>
      <c r="BJ97" s="222">
        <f t="shared" si="72"/>
        <v>0</v>
      </c>
      <c r="BK97" s="222">
        <f t="shared" si="72"/>
        <v>29277.666308944579</v>
      </c>
      <c r="BL97" s="222">
        <f>BL95-AE97</f>
        <v>0</v>
      </c>
      <c r="BM97" s="222">
        <f>BM95-AH97-AX97-AZ97-BB97</f>
        <v>-1.3853423297405243E-8</v>
      </c>
      <c r="BN97" s="222">
        <f>BN95-BE97-BG97-BH97-BI97-BJ97-BD97</f>
        <v>-0.35600001041893847</v>
      </c>
      <c r="BO97" s="153"/>
      <c r="BP97" s="223">
        <f>BP95-BL95-BM95-BN95</f>
        <v>0</v>
      </c>
      <c r="BQ97" s="224">
        <f>BQ95+BR95-BP95</f>
        <v>29277.666308939457</v>
      </c>
      <c r="CB97" s="221">
        <f>BY95-BZ95-CA95</f>
        <v>297454845.4334029</v>
      </c>
      <c r="CD97" s="157" t="e">
        <f>#REF!-#REF!</f>
        <v>#REF!</v>
      </c>
      <c r="CE97" s="157"/>
    </row>
    <row r="98" spans="31:83" x14ac:dyDescent="0.25">
      <c r="BO98" s="172"/>
      <c r="BP98" s="172"/>
      <c r="BQ98" s="71"/>
      <c r="BW98" s="72"/>
      <c r="CB98" s="221">
        <f>CB95-CB97</f>
        <v>0</v>
      </c>
    </row>
    <row r="99" spans="31:83" x14ac:dyDescent="0.25">
      <c r="AE99" s="68">
        <v>112884560.14</v>
      </c>
      <c r="AF99" s="68">
        <v>62587276</v>
      </c>
      <c r="AG99" s="68">
        <v>48871440</v>
      </c>
      <c r="AH99" s="68">
        <v>29203065.193355914</v>
      </c>
      <c r="AX99" s="68">
        <v>7196965.4478333984</v>
      </c>
      <c r="AZ99" s="68">
        <v>17929249.005375903</v>
      </c>
      <c r="BB99" s="68">
        <v>735104.77140144515</v>
      </c>
      <c r="BD99" s="68">
        <v>87793.322960000034</v>
      </c>
      <c r="BE99" s="68">
        <v>14209939.003999975</v>
      </c>
      <c r="BG99" s="68">
        <v>3102892.4705999987</v>
      </c>
      <c r="BI99" s="68">
        <v>85507.342131176512</v>
      </c>
      <c r="BK99" s="68">
        <v>29277.666308944579</v>
      </c>
      <c r="BQ99" s="71"/>
      <c r="BW99" s="72"/>
      <c r="CD99" s="164" t="e">
        <f>CD95-CD97</f>
        <v>#REF!</v>
      </c>
      <c r="CE99" t="s">
        <v>293</v>
      </c>
    </row>
    <row r="100" spans="31:83" x14ac:dyDescent="0.25">
      <c r="AE100" s="68">
        <f>AE95-AE99</f>
        <v>0</v>
      </c>
      <c r="AF100" s="68">
        <f t="shared" ref="AF100:AG100" si="73">AF95-AF99</f>
        <v>0</v>
      </c>
      <c r="AG100" s="68">
        <f t="shared" si="73"/>
        <v>0</v>
      </c>
      <c r="AH100" s="68">
        <f>AH97-AH99</f>
        <v>0</v>
      </c>
      <c r="AX100" s="68">
        <f>AX97-AX99</f>
        <v>0</v>
      </c>
      <c r="AZ100" s="68">
        <f>AZ97-AZ99</f>
        <v>0</v>
      </c>
      <c r="BB100" s="68">
        <f>BB97-BB99</f>
        <v>0</v>
      </c>
      <c r="BD100" s="68">
        <f>BD97-BD99</f>
        <v>0</v>
      </c>
      <c r="BE100" s="68">
        <f>BE97-BE99</f>
        <v>0.35600003786385059</v>
      </c>
      <c r="BG100" s="68">
        <f>BG97-BG99</f>
        <v>0</v>
      </c>
      <c r="BI100" s="68">
        <f>BI97-BI99</f>
        <v>0</v>
      </c>
      <c r="BK100" s="68">
        <f>BK97-BK99</f>
        <v>0</v>
      </c>
      <c r="BQ100" s="71"/>
      <c r="BW100" s="72"/>
      <c r="CD100" s="157"/>
      <c r="CE100" s="173"/>
    </row>
    <row r="101" spans="31:83" x14ac:dyDescent="0.25">
      <c r="BQ101" s="71"/>
      <c r="BW101" s="72"/>
    </row>
    <row r="102" spans="31:83" x14ac:dyDescent="0.25">
      <c r="BQ102" s="71"/>
      <c r="BW102" s="72"/>
    </row>
    <row r="103" spans="31:83" x14ac:dyDescent="0.25">
      <c r="BQ103" s="71"/>
      <c r="BW103" s="72"/>
    </row>
    <row r="104" spans="31:83" x14ac:dyDescent="0.25">
      <c r="BQ104" s="71"/>
      <c r="BW104" s="72"/>
    </row>
    <row r="105" spans="31:83" x14ac:dyDescent="0.25">
      <c r="BQ105" s="71"/>
      <c r="BW105" s="72"/>
    </row>
    <row r="106" spans="31:83" x14ac:dyDescent="0.25">
      <c r="BQ106" s="71"/>
      <c r="BW106" s="72"/>
    </row>
    <row r="107" spans="31:83" x14ac:dyDescent="0.25">
      <c r="BQ107" s="71"/>
      <c r="BW107" s="72"/>
    </row>
    <row r="108" spans="31:83" x14ac:dyDescent="0.25">
      <c r="BQ108" s="71"/>
      <c r="BW108" s="72"/>
    </row>
    <row r="109" spans="31:83" x14ac:dyDescent="0.25">
      <c r="BQ109" s="71"/>
      <c r="BW109" s="72"/>
    </row>
    <row r="110" spans="31:83" x14ac:dyDescent="0.25">
      <c r="BQ110" s="71"/>
      <c r="BW110" s="72"/>
    </row>
    <row r="111" spans="31:83" x14ac:dyDescent="0.25">
      <c r="BQ111" s="71"/>
      <c r="BW111" s="72"/>
    </row>
    <row r="112" spans="31:83" x14ac:dyDescent="0.25">
      <c r="BQ112" s="71"/>
      <c r="BW112" s="72"/>
    </row>
    <row r="113" spans="75:75" x14ac:dyDescent="0.25">
      <c r="BW113" s="72"/>
    </row>
    <row r="114" spans="75:75" x14ac:dyDescent="0.25">
      <c r="BW114" s="72"/>
    </row>
    <row r="115" spans="75:75" x14ac:dyDescent="0.25">
      <c r="BW115" s="72"/>
    </row>
    <row r="116" spans="75:75" x14ac:dyDescent="0.25">
      <c r="BW116" s="72"/>
    </row>
    <row r="117" spans="75:75" x14ac:dyDescent="0.25">
      <c r="BW117" s="72"/>
    </row>
    <row r="118" spans="75:75" x14ac:dyDescent="0.25">
      <c r="BW118" s="72"/>
    </row>
    <row r="119" spans="75:75" x14ac:dyDescent="0.25">
      <c r="BW119" s="72"/>
    </row>
    <row r="120" spans="75:75" x14ac:dyDescent="0.25">
      <c r="BW120" s="72"/>
    </row>
    <row r="121" spans="75:75" x14ac:dyDescent="0.25">
      <c r="BW121" s="72"/>
    </row>
    <row r="122" spans="75:75" x14ac:dyDescent="0.25">
      <c r="BW122" s="72"/>
    </row>
    <row r="123" spans="75:75" x14ac:dyDescent="0.25">
      <c r="BW123" s="72"/>
    </row>
    <row r="124" spans="75:75" x14ac:dyDescent="0.25">
      <c r="BW124" s="72"/>
    </row>
    <row r="125" spans="75:75" x14ac:dyDescent="0.25">
      <c r="BW125" s="72"/>
    </row>
    <row r="126" spans="75:75" x14ac:dyDescent="0.25">
      <c r="BW126" s="72"/>
    </row>
    <row r="127" spans="75:75" x14ac:dyDescent="0.25">
      <c r="BW127" s="72"/>
    </row>
    <row r="128" spans="75:75" x14ac:dyDescent="0.25">
      <c r="BW128" s="72"/>
    </row>
    <row r="129" spans="75:75" x14ac:dyDescent="0.25">
      <c r="BW129" s="72"/>
    </row>
    <row r="130" spans="75:75" x14ac:dyDescent="0.25">
      <c r="BW130" s="72"/>
    </row>
    <row r="131" spans="75:75" x14ac:dyDescent="0.25">
      <c r="BW131" s="72"/>
    </row>
    <row r="132" spans="75:75" x14ac:dyDescent="0.25">
      <c r="BW132" s="72"/>
    </row>
    <row r="133" spans="75:75" x14ac:dyDescent="0.25">
      <c r="BW133" s="72"/>
    </row>
    <row r="134" spans="75:75" x14ac:dyDescent="0.25">
      <c r="BW134" s="72"/>
    </row>
    <row r="135" spans="75:75" x14ac:dyDescent="0.25">
      <c r="BW135" s="72"/>
    </row>
    <row r="136" spans="75:75" x14ac:dyDescent="0.25">
      <c r="BW136" s="72"/>
    </row>
    <row r="137" spans="75:75" x14ac:dyDescent="0.25">
      <c r="BW137" s="72"/>
    </row>
    <row r="138" spans="75:75" x14ac:dyDescent="0.25">
      <c r="BW138" s="72"/>
    </row>
    <row r="139" spans="75:75" x14ac:dyDescent="0.25">
      <c r="BW139" s="72"/>
    </row>
    <row r="140" spans="75:75" x14ac:dyDescent="0.25">
      <c r="BW140" s="72"/>
    </row>
    <row r="141" spans="75:75" x14ac:dyDescent="0.25">
      <c r="BW141" s="72"/>
    </row>
    <row r="142" spans="75:75" x14ac:dyDescent="0.25">
      <c r="BW142" s="72"/>
    </row>
    <row r="143" spans="75:75" x14ac:dyDescent="0.25">
      <c r="BW143" s="72"/>
    </row>
    <row r="144" spans="75:75" x14ac:dyDescent="0.25">
      <c r="BW144" s="72"/>
    </row>
    <row r="145" spans="75:75" x14ac:dyDescent="0.25">
      <c r="BW145" s="72"/>
    </row>
    <row r="146" spans="75:75" x14ac:dyDescent="0.25">
      <c r="BW146" s="72"/>
    </row>
    <row r="147" spans="75:75" x14ac:dyDescent="0.25">
      <c r="BW147" s="72"/>
    </row>
    <row r="148" spans="75:75" x14ac:dyDescent="0.25">
      <c r="BW148" s="72"/>
    </row>
    <row r="149" spans="75:75" x14ac:dyDescent="0.25">
      <c r="BW149" s="72"/>
    </row>
    <row r="150" spans="75:75" x14ac:dyDescent="0.25">
      <c r="BW150" s="72"/>
    </row>
    <row r="151" spans="75:75" x14ac:dyDescent="0.25">
      <c r="BW151" s="72"/>
    </row>
    <row r="152" spans="75:75" x14ac:dyDescent="0.25">
      <c r="BW152" s="72"/>
    </row>
    <row r="153" spans="75:75" x14ac:dyDescent="0.25">
      <c r="BW153" s="72"/>
    </row>
    <row r="154" spans="75:75" x14ac:dyDescent="0.25">
      <c r="BW154" s="72"/>
    </row>
    <row r="155" spans="75:75" x14ac:dyDescent="0.25">
      <c r="BW155" s="72"/>
    </row>
    <row r="156" spans="75:75" x14ac:dyDescent="0.25">
      <c r="BW156" s="72"/>
    </row>
    <row r="157" spans="75:75" x14ac:dyDescent="0.25">
      <c r="BW157" s="72"/>
    </row>
    <row r="158" spans="75:75" x14ac:dyDescent="0.25">
      <c r="BW158" s="72"/>
    </row>
    <row r="159" spans="75:75" x14ac:dyDescent="0.25">
      <c r="BW159" s="72"/>
    </row>
    <row r="160" spans="75:75" x14ac:dyDescent="0.25">
      <c r="BW160" s="72"/>
    </row>
    <row r="161" spans="75:75" x14ac:dyDescent="0.25">
      <c r="BW161" s="72"/>
    </row>
    <row r="162" spans="75:75" x14ac:dyDescent="0.25">
      <c r="BW162" s="72"/>
    </row>
    <row r="163" spans="75:75" x14ac:dyDescent="0.25">
      <c r="BW163" s="72"/>
    </row>
    <row r="164" spans="75:75" x14ac:dyDescent="0.25">
      <c r="BW164" s="72"/>
    </row>
    <row r="165" spans="75:75" x14ac:dyDescent="0.25">
      <c r="BW165" s="72"/>
    </row>
    <row r="166" spans="75:75" x14ac:dyDescent="0.25">
      <c r="BW166" s="72"/>
    </row>
    <row r="167" spans="75:75" x14ac:dyDescent="0.25">
      <c r="BW167" s="72"/>
    </row>
    <row r="168" spans="75:75" x14ac:dyDescent="0.25">
      <c r="BW168" s="72"/>
    </row>
    <row r="169" spans="75:75" x14ac:dyDescent="0.25">
      <c r="BW169" s="72"/>
    </row>
    <row r="170" spans="75:75" x14ac:dyDescent="0.25">
      <c r="BW170" s="72"/>
    </row>
    <row r="171" spans="75:75" x14ac:dyDescent="0.25">
      <c r="BW171" s="72"/>
    </row>
    <row r="172" spans="75:75" x14ac:dyDescent="0.25">
      <c r="BW172" s="72"/>
    </row>
    <row r="173" spans="75:75" x14ac:dyDescent="0.25">
      <c r="BW173" s="72"/>
    </row>
    <row r="174" spans="75:75" x14ac:dyDescent="0.25">
      <c r="BW174" s="72"/>
    </row>
    <row r="175" spans="75:75" x14ac:dyDescent="0.25">
      <c r="BW175" s="72"/>
    </row>
    <row r="176" spans="75:75" x14ac:dyDescent="0.25">
      <c r="BW176" s="72"/>
    </row>
    <row r="177" spans="75:75" x14ac:dyDescent="0.25">
      <c r="BW177" s="72"/>
    </row>
  </sheetData>
  <sheetProtection algorithmName="SHA-512" hashValue="zolRQlvx4a+1Q6r3oFsNmqKBT8A8EJjBxMsh01SpdRzBHPEmVm16decQJ272NTy+NQ3Xydvfzd1EX98dwUFqZQ==" saltValue="bbTKfChfIdz+CiVjooi7CQ==" spinCount="100000" sheet="1" objects="1" scenarios="1"/>
  <autoFilter ref="A4:CV93" xr:uid="{00000000-0009-0000-0000-000002000000}">
    <filterColumn colId="89">
      <filters>
        <filter val="£11,840.00"/>
        <filter val="£111,000.00"/>
        <filter val="£112,480.00"/>
        <filter val="£122,840.00"/>
        <filter val="£125,800.00"/>
        <filter val="£131,720.00"/>
        <filter val="£136,160.00"/>
        <filter val="£139,860.00"/>
        <filter val="£143,560.00"/>
        <filter val="£159,840.00"/>
        <filter val="£176,120.00"/>
        <filter val="£180,560.00"/>
        <filter val="£232,360.00"/>
        <filter val="£250,860.00"/>
        <filter val="£251,600.00"/>
        <filter val="£269,360.00"/>
        <filter val="£273,800.00"/>
        <filter val="£29,600.00"/>
        <filter val="£34,040.00"/>
        <filter val="£35,520.00"/>
        <filter val="£37,000.00"/>
        <filter val="£38,480.00"/>
        <filter val="£39,960.00"/>
        <filter val="£433,650.00"/>
        <filter val="£468,300.00"/>
        <filter val="£47,360.00"/>
        <filter val="£48,840.00"/>
        <filter val="£50,320.00"/>
        <filter val="£53,280.00"/>
        <filter val="£54,760.00"/>
        <filter val="£57,720.00"/>
        <filter val="£63,640.00"/>
        <filter val="£65,120.00"/>
        <filter val="£66,600.00"/>
        <filter val="£68,080.00"/>
        <filter val="£69,560.00"/>
        <filter val="£71,040.00"/>
        <filter val="£75,480.00"/>
        <filter val="£81,400.00"/>
        <filter val="£85,840.00"/>
        <filter val="£90,280.00"/>
      </filters>
    </filterColumn>
  </autoFilter>
  <sortState xmlns:xlrd2="http://schemas.microsoft.com/office/spreadsheetml/2017/richdata2" ref="A5:CB93">
    <sortCondition ref="C5:C93"/>
    <sortCondition ref="B5:B93"/>
  </sortState>
  <mergeCells count="3">
    <mergeCell ref="D3:AD3"/>
    <mergeCell ref="CL3:CU3"/>
    <mergeCell ref="CD3:CJ3"/>
  </mergeCells>
  <phoneticPr fontId="2" type="noConversion"/>
  <conditionalFormatting sqref="A4">
    <cfRule type="duplicateValues" dxfId="6" priority="1"/>
  </conditionalFormatting>
  <conditionalFormatting sqref="B1:B1048576">
    <cfRule type="duplicateValues" dxfId="5" priority="3"/>
  </conditionalFormatting>
  <dataValidations count="1">
    <dataValidation type="decimal" operator="greaterThanOrEqual" allowBlank="1" showInputMessage="1" showErrorMessage="1" error="This figure cannot be negative" sqref="BG5:BH93" xr:uid="{00000000-0002-0000-0200-000000000000}">
      <formula1>0</formula1>
    </dataValidation>
  </dataValidations>
  <pageMargins left="0.75" right="0.75" top="1" bottom="1" header="0.5" footer="0.5"/>
  <pageSetup paperSize="8" scale="38" fitToWidth="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AE7CE-784C-4EAE-A088-28BC4AD8D561}">
  <sheetPr>
    <tabColor theme="3" tint="0.59999389629810485"/>
  </sheetPr>
  <dimension ref="A1:AA70"/>
  <sheetViews>
    <sheetView topLeftCell="A9" workbookViewId="0">
      <pane xSplit="2" ySplit="2" topLeftCell="F49" activePane="bottomRight" state="frozen"/>
      <selection pane="topRight"/>
      <selection pane="bottomLeft"/>
      <selection pane="bottomRight" activeCell="A68" sqref="A68"/>
    </sheetView>
  </sheetViews>
  <sheetFormatPr defaultColWidth="9.1796875" defaultRowHeight="14" x14ac:dyDescent="0.3"/>
  <cols>
    <col min="1" max="1" width="6" style="265" customWidth="1"/>
    <col min="2" max="2" width="26" style="265" customWidth="1"/>
    <col min="3" max="3" width="7.7265625" style="265" customWidth="1"/>
    <col min="4" max="4" width="7" style="265" customWidth="1"/>
    <col min="5" max="5" width="15.453125" style="265" customWidth="1"/>
    <col min="6" max="6" width="12.7265625" style="265" customWidth="1"/>
    <col min="7" max="7" width="11.54296875" style="270" customWidth="1"/>
    <col min="8" max="8" width="13" style="265" customWidth="1"/>
    <col min="9" max="9" width="12.1796875" style="266" bestFit="1" customWidth="1"/>
    <col min="10" max="10" width="18.1796875" style="270" bestFit="1" customWidth="1"/>
    <col min="11" max="11" width="2.26953125" style="265" customWidth="1"/>
    <col min="12" max="12" width="9.1796875" style="272" bestFit="1" customWidth="1"/>
    <col min="13" max="13" width="11" style="265" customWidth="1"/>
    <col min="14" max="14" width="15.81640625" style="265" bestFit="1" customWidth="1"/>
    <col min="15" max="15" width="16.26953125" style="265" bestFit="1" customWidth="1"/>
    <col min="16" max="16" width="2.1796875" style="265" customWidth="1"/>
    <col min="17" max="17" width="7.1796875" style="270" customWidth="1"/>
    <col min="18" max="18" width="11.453125" style="265" bestFit="1" customWidth="1"/>
    <col min="19" max="19" width="10.81640625" style="265" bestFit="1" customWidth="1"/>
    <col min="20" max="20" width="13.81640625" style="265" bestFit="1" customWidth="1"/>
    <col min="21" max="21" width="16.453125" style="273" bestFit="1" customWidth="1"/>
    <col min="22" max="22" width="24.54296875" style="265" bestFit="1" customWidth="1"/>
    <col min="23" max="23" width="3.1796875" style="265" customWidth="1"/>
    <col min="24" max="24" width="17" style="265" customWidth="1"/>
    <col min="25" max="25" width="16.54296875" style="265" bestFit="1" customWidth="1"/>
    <col min="26" max="26" width="17" style="265" bestFit="1" customWidth="1"/>
    <col min="27" max="30" width="9.81640625" style="265"/>
    <col min="31" max="16384" width="9.1796875" style="265"/>
  </cols>
  <sheetData>
    <row r="1" spans="1:27" ht="21" customHeight="1" x14ac:dyDescent="0.5">
      <c r="A1" s="263"/>
      <c r="B1" s="264" t="s">
        <v>294</v>
      </c>
      <c r="F1" s="269"/>
      <c r="I1" s="413"/>
      <c r="V1" s="274"/>
    </row>
    <row r="2" spans="1:27" ht="21" x14ac:dyDescent="0.5">
      <c r="B2" s="264" t="s">
        <v>295</v>
      </c>
      <c r="F2" s="276"/>
      <c r="H2" s="277"/>
      <c r="I2" s="414"/>
      <c r="K2" s="279"/>
      <c r="M2" s="277"/>
      <c r="N2" s="277"/>
      <c r="O2" s="277"/>
      <c r="P2" s="415"/>
      <c r="R2" s="415"/>
      <c r="S2" s="277"/>
      <c r="T2" s="281"/>
      <c r="U2" s="282"/>
      <c r="V2" s="282"/>
    </row>
    <row r="3" spans="1:27" ht="14.5" x14ac:dyDescent="0.35">
      <c r="E3" s="284"/>
      <c r="G3" s="285"/>
      <c r="H3" s="277"/>
      <c r="I3" s="414"/>
      <c r="K3" s="277"/>
      <c r="M3" s="277"/>
      <c r="N3" s="277"/>
      <c r="O3" s="277"/>
      <c r="P3" s="415"/>
      <c r="R3" s="415"/>
      <c r="S3" s="277"/>
      <c r="T3" s="281"/>
      <c r="U3" s="282"/>
      <c r="V3" s="282"/>
      <c r="W3" s="416"/>
    </row>
    <row r="4" spans="1:27" ht="15" customHeight="1" x14ac:dyDescent="0.35">
      <c r="B4" s="286"/>
      <c r="E4" s="287"/>
      <c r="F4" s="288"/>
      <c r="H4" s="286"/>
      <c r="I4" s="286"/>
      <c r="J4" s="286"/>
      <c r="K4" s="286"/>
      <c r="L4" s="286"/>
      <c r="M4" s="286"/>
      <c r="N4" s="286"/>
      <c r="O4" s="286"/>
      <c r="P4" s="286"/>
      <c r="R4" s="286"/>
      <c r="T4" s="281"/>
      <c r="U4" s="282"/>
      <c r="V4" s="282"/>
      <c r="W4" s="267"/>
    </row>
    <row r="5" spans="1:27" ht="15" customHeight="1" x14ac:dyDescent="0.35">
      <c r="E5" s="287"/>
      <c r="F5" s="273"/>
      <c r="I5" s="265"/>
      <c r="J5" s="265"/>
      <c r="L5" s="265"/>
      <c r="Q5" s="265"/>
      <c r="W5" s="417"/>
    </row>
    <row r="6" spans="1:27" ht="15" customHeight="1" x14ac:dyDescent="0.3">
      <c r="E6" s="290"/>
      <c r="G6" s="418"/>
      <c r="I6" s="290"/>
      <c r="J6" s="292"/>
      <c r="K6" s="290"/>
      <c r="O6" s="294"/>
      <c r="P6" s="294"/>
      <c r="Q6" s="292"/>
      <c r="R6" s="294"/>
      <c r="W6" s="416"/>
    </row>
    <row r="7" spans="1:27" s="274" customFormat="1" ht="15" customHeight="1" x14ac:dyDescent="0.35">
      <c r="E7" s="295"/>
      <c r="F7" s="297"/>
      <c r="G7" s="389"/>
      <c r="I7" s="297"/>
      <c r="J7" s="390"/>
      <c r="L7" s="305"/>
      <c r="N7" s="302"/>
      <c r="O7" s="391"/>
      <c r="P7" s="297"/>
      <c r="Q7" s="390"/>
      <c r="R7" s="392"/>
      <c r="T7" s="455"/>
      <c r="U7" s="455"/>
      <c r="V7" s="305"/>
      <c r="Z7" s="306"/>
      <c r="AA7" s="307"/>
    </row>
    <row r="9" spans="1:27" ht="14.5" thickBot="1" x14ac:dyDescent="0.35">
      <c r="G9" s="265"/>
      <c r="I9" s="265"/>
      <c r="J9" s="265"/>
      <c r="L9" s="265"/>
      <c r="Q9" s="265"/>
      <c r="U9" s="265"/>
    </row>
    <row r="10" spans="1:27" ht="57" customHeight="1" thickBot="1" x14ac:dyDescent="0.4">
      <c r="A10" s="314" t="s">
        <v>296</v>
      </c>
      <c r="B10" s="315" t="s">
        <v>297</v>
      </c>
      <c r="C10" s="316" t="s">
        <v>298</v>
      </c>
      <c r="D10" s="317"/>
      <c r="E10" s="318" t="s">
        <v>299</v>
      </c>
      <c r="F10" s="319" t="s">
        <v>300</v>
      </c>
      <c r="G10" s="319" t="s">
        <v>301</v>
      </c>
      <c r="H10" s="320" t="s">
        <v>302</v>
      </c>
      <c r="I10" s="321" t="s">
        <v>303</v>
      </c>
      <c r="J10" s="322" t="s">
        <v>304</v>
      </c>
      <c r="K10" s="323"/>
      <c r="L10" s="324" t="s">
        <v>305</v>
      </c>
      <c r="M10" s="325" t="s">
        <v>306</v>
      </c>
      <c r="N10" s="326" t="s">
        <v>307</v>
      </c>
      <c r="O10" s="327" t="s">
        <v>308</v>
      </c>
      <c r="P10" s="305"/>
      <c r="Q10" s="328"/>
      <c r="R10" s="324" t="s">
        <v>309</v>
      </c>
      <c r="S10" s="329" t="s">
        <v>310</v>
      </c>
      <c r="T10" s="394" t="s">
        <v>311</v>
      </c>
      <c r="U10" s="326" t="s">
        <v>312</v>
      </c>
      <c r="V10" s="395" t="s">
        <v>313</v>
      </c>
      <c r="W10" s="323"/>
      <c r="X10" s="330" t="s">
        <v>314</v>
      </c>
      <c r="Y10" s="331" t="s">
        <v>315</v>
      </c>
    </row>
    <row r="11" spans="1:27" ht="14.5" x14ac:dyDescent="0.35">
      <c r="A11" s="332"/>
      <c r="B11" s="333"/>
      <c r="C11" s="334"/>
      <c r="D11" s="332"/>
      <c r="E11" s="335"/>
      <c r="F11" s="336"/>
      <c r="G11" s="336"/>
      <c r="H11" s="337"/>
      <c r="I11" s="338"/>
      <c r="J11" s="339"/>
      <c r="K11" s="323"/>
      <c r="L11" s="340"/>
      <c r="M11" s="393"/>
      <c r="N11" s="341"/>
      <c r="O11" s="342"/>
      <c r="P11" s="305"/>
      <c r="Q11" s="328"/>
      <c r="R11" s="343"/>
      <c r="S11" s="344"/>
      <c r="T11" s="396"/>
      <c r="U11" s="345"/>
      <c r="V11" s="397"/>
      <c r="W11" s="323"/>
      <c r="X11" s="346"/>
      <c r="Y11" s="347"/>
    </row>
    <row r="12" spans="1:27" ht="14.5" x14ac:dyDescent="0.35">
      <c r="A12" s="274">
        <v>2001</v>
      </c>
      <c r="B12" s="348" t="s">
        <v>316</v>
      </c>
      <c r="C12" s="349" t="s">
        <v>317</v>
      </c>
      <c r="D12" s="350"/>
      <c r="E12" s="351">
        <v>13094</v>
      </c>
      <c r="F12" s="351">
        <v>11700</v>
      </c>
      <c r="G12" s="351">
        <v>8970</v>
      </c>
      <c r="H12" s="352">
        <f>SUM(E12:G12)</f>
        <v>33764</v>
      </c>
      <c r="I12" s="353">
        <v>5.8534000000000006</v>
      </c>
      <c r="J12" s="354">
        <f t="shared" ref="J12:J43" si="0">I12*H12</f>
        <v>197634.19760000001</v>
      </c>
      <c r="K12" s="274"/>
      <c r="L12" s="355">
        <v>0.20661538461538459</v>
      </c>
      <c r="M12" s="356">
        <v>6104.8423026711416</v>
      </c>
      <c r="N12" s="357">
        <v>10713.998241187854</v>
      </c>
      <c r="O12" s="358">
        <v>0.36260999999999999</v>
      </c>
      <c r="P12" s="305"/>
      <c r="Q12" s="274"/>
      <c r="R12" s="359">
        <v>3.4782608695652174E-2</v>
      </c>
      <c r="S12" s="360">
        <v>1027.7179570037858</v>
      </c>
      <c r="T12" s="361">
        <v>3.8249999999999997</v>
      </c>
      <c r="U12" s="362">
        <v>3931.0211855394805</v>
      </c>
      <c r="V12" s="398">
        <v>0.13304347826086957</v>
      </c>
      <c r="W12" s="274"/>
      <c r="X12" s="363">
        <v>6.3490534782608714</v>
      </c>
      <c r="Y12" s="364">
        <f t="shared" ref="Y12:Y43" si="1">SUM(H12*X12)</f>
        <v>214369.44164000006</v>
      </c>
      <c r="AA12" s="269"/>
    </row>
    <row r="13" spans="1:27" ht="14.5" x14ac:dyDescent="0.35">
      <c r="A13" s="274">
        <v>3300</v>
      </c>
      <c r="B13" s="365" t="s">
        <v>318</v>
      </c>
      <c r="C13" s="366" t="s">
        <v>317</v>
      </c>
      <c r="D13" s="367"/>
      <c r="E13" s="368">
        <v>8369</v>
      </c>
      <c r="F13" s="368">
        <v>5850</v>
      </c>
      <c r="G13" s="368">
        <v>4680</v>
      </c>
      <c r="H13" s="369">
        <f t="shared" ref="H13:H68" si="2">SUM(E13:G13)</f>
        <v>18899</v>
      </c>
      <c r="I13" s="370">
        <v>5.8534000000000006</v>
      </c>
      <c r="J13" s="371">
        <f t="shared" si="0"/>
        <v>110623.40660000002</v>
      </c>
      <c r="K13" s="274"/>
      <c r="L13" s="372">
        <v>9.2777777777777778E-2</v>
      </c>
      <c r="M13" s="373">
        <v>1534.4074320656553</v>
      </c>
      <c r="N13" s="374">
        <v>2692.8850432752251</v>
      </c>
      <c r="O13" s="375">
        <v>0.16282500000000003</v>
      </c>
      <c r="P13" s="305"/>
      <c r="Q13" s="305"/>
      <c r="R13" s="376">
        <v>3.9808917197452227E-2</v>
      </c>
      <c r="S13" s="377">
        <v>658.38070142791946</v>
      </c>
      <c r="T13" s="378">
        <v>3.8249999999999997</v>
      </c>
      <c r="U13" s="374">
        <v>2518.3061829617918</v>
      </c>
      <c r="V13" s="399">
        <v>0.15226910828025478</v>
      </c>
      <c r="W13" s="274"/>
      <c r="X13" s="379">
        <v>6.1684941082802549</v>
      </c>
      <c r="Y13" s="364">
        <f t="shared" si="1"/>
        <v>116578.37015238854</v>
      </c>
      <c r="AA13" s="269"/>
    </row>
    <row r="14" spans="1:27" ht="14.5" x14ac:dyDescent="0.35">
      <c r="A14" s="274">
        <v>3401</v>
      </c>
      <c r="B14" s="365" t="s">
        <v>319</v>
      </c>
      <c r="C14" s="366" t="s">
        <v>317</v>
      </c>
      <c r="D14" s="367"/>
      <c r="E14" s="368">
        <v>13320</v>
      </c>
      <c r="F14" s="368">
        <v>14625</v>
      </c>
      <c r="G14" s="368">
        <v>12675</v>
      </c>
      <c r="H14" s="369">
        <f t="shared" si="2"/>
        <v>40620</v>
      </c>
      <c r="I14" s="370">
        <v>5.8534000000000006</v>
      </c>
      <c r="J14" s="371">
        <f t="shared" si="0"/>
        <v>237765.10800000004</v>
      </c>
      <c r="K14" s="274"/>
      <c r="L14" s="372">
        <v>0.1858818181818182</v>
      </c>
      <c r="M14" s="373">
        <v>6607.4628986229518</v>
      </c>
      <c r="N14" s="374">
        <v>11596.09738708328</v>
      </c>
      <c r="O14" s="375">
        <v>0.32622259090909095</v>
      </c>
      <c r="P14" s="305"/>
      <c r="Q14" s="305"/>
      <c r="R14" s="376">
        <v>0.10149253731343283</v>
      </c>
      <c r="S14" s="377">
        <v>3607.7125850451125</v>
      </c>
      <c r="T14" s="378">
        <v>3.8249999999999997</v>
      </c>
      <c r="U14" s="374">
        <v>13799.500637797555</v>
      </c>
      <c r="V14" s="399">
        <v>0.38820895522388055</v>
      </c>
      <c r="W14" s="274"/>
      <c r="X14" s="379">
        <v>6.5678315461329717</v>
      </c>
      <c r="Y14" s="364">
        <f t="shared" si="1"/>
        <v>266785.31740392133</v>
      </c>
      <c r="AA14" s="269"/>
    </row>
    <row r="15" spans="1:27" ht="14.5" x14ac:dyDescent="0.35">
      <c r="A15" s="274">
        <v>2003</v>
      </c>
      <c r="B15" s="385" t="s">
        <v>46</v>
      </c>
      <c r="C15" s="366" t="s">
        <v>317</v>
      </c>
      <c r="D15" s="367"/>
      <c r="E15" s="381">
        <v>4845</v>
      </c>
      <c r="F15" s="381">
        <v>4875</v>
      </c>
      <c r="G15" s="381">
        <v>4875</v>
      </c>
      <c r="H15" s="369">
        <f t="shared" si="2"/>
        <v>14595</v>
      </c>
      <c r="I15" s="370">
        <v>5.8534000000000006</v>
      </c>
      <c r="J15" s="382">
        <f t="shared" si="0"/>
        <v>85430.373000000007</v>
      </c>
      <c r="K15" s="274"/>
      <c r="L15" s="372">
        <v>0.15806249999999999</v>
      </c>
      <c r="M15" s="383">
        <v>2018.7886218530355</v>
      </c>
      <c r="N15" s="374">
        <v>3542.9740313520774</v>
      </c>
      <c r="O15" s="375">
        <v>0.27739968749999999</v>
      </c>
      <c r="P15" s="305"/>
      <c r="Q15" s="387"/>
      <c r="R15" s="376">
        <v>7.5579983814405172E-2</v>
      </c>
      <c r="S15" s="377">
        <v>965.31442539728107</v>
      </c>
      <c r="T15" s="378">
        <v>3.8249999999999997</v>
      </c>
      <c r="U15" s="384">
        <v>3692.3276771445999</v>
      </c>
      <c r="V15" s="399">
        <v>0.28909343809009974</v>
      </c>
      <c r="W15" s="274"/>
      <c r="X15" s="379">
        <v>6.4198931255901002</v>
      </c>
      <c r="Y15" s="364">
        <f t="shared" si="1"/>
        <v>93698.34016798751</v>
      </c>
      <c r="AA15" s="269"/>
    </row>
    <row r="16" spans="1:27" ht="14.5" x14ac:dyDescent="0.35">
      <c r="A16" s="274">
        <v>2002</v>
      </c>
      <c r="B16" s="365" t="s">
        <v>320</v>
      </c>
      <c r="C16" s="366" t="s">
        <v>317</v>
      </c>
      <c r="D16" s="367"/>
      <c r="E16" s="381">
        <v>6660</v>
      </c>
      <c r="F16" s="381">
        <v>13260</v>
      </c>
      <c r="G16" s="381">
        <v>6630</v>
      </c>
      <c r="H16" s="369">
        <f t="shared" si="2"/>
        <v>26550</v>
      </c>
      <c r="I16" s="370">
        <v>5.8534000000000006</v>
      </c>
      <c r="J16" s="382">
        <f t="shared" si="0"/>
        <v>155407.77000000002</v>
      </c>
      <c r="K16" s="274"/>
      <c r="L16" s="372">
        <v>0.16600000000000001</v>
      </c>
      <c r="M16" s="383">
        <v>3856.8301702169497</v>
      </c>
      <c r="N16" s="374">
        <v>6768.7369487307469</v>
      </c>
      <c r="O16" s="375">
        <v>0.29133000000000003</v>
      </c>
      <c r="P16" s="305"/>
      <c r="Q16" s="274"/>
      <c r="R16" s="376">
        <v>5.7142857142857141E-2</v>
      </c>
      <c r="S16" s="377">
        <v>1327.6523821745093</v>
      </c>
      <c r="T16" s="378">
        <v>3.8249999999999997</v>
      </c>
      <c r="U16" s="384">
        <v>5078.2703618174974</v>
      </c>
      <c r="V16" s="399">
        <v>0.21857142857142856</v>
      </c>
      <c r="W16" s="274"/>
      <c r="X16" s="379">
        <v>6.3633014285714298</v>
      </c>
      <c r="Y16" s="364">
        <f t="shared" si="1"/>
        <v>168945.65292857145</v>
      </c>
      <c r="AA16" s="269"/>
    </row>
    <row r="17" spans="1:27" ht="14.5" x14ac:dyDescent="0.35">
      <c r="A17" s="274">
        <v>5206</v>
      </c>
      <c r="B17" s="365" t="s">
        <v>321</v>
      </c>
      <c r="C17" s="366" t="s">
        <v>317</v>
      </c>
      <c r="D17" s="367"/>
      <c r="E17" s="381">
        <v>10335</v>
      </c>
      <c r="F17" s="381">
        <v>13845</v>
      </c>
      <c r="G17" s="381">
        <v>9165</v>
      </c>
      <c r="H17" s="369">
        <f t="shared" si="2"/>
        <v>33345</v>
      </c>
      <c r="I17" s="370">
        <v>5.8534000000000006</v>
      </c>
      <c r="J17" s="382">
        <f t="shared" si="0"/>
        <v>195181.62300000002</v>
      </c>
      <c r="K17" s="274"/>
      <c r="L17" s="372">
        <v>0.18797619047619052</v>
      </c>
      <c r="M17" s="383">
        <v>5485.1873784854552</v>
      </c>
      <c r="N17" s="374">
        <v>9626.5038492419753</v>
      </c>
      <c r="O17" s="375">
        <v>0.32989821428571436</v>
      </c>
      <c r="P17" s="305"/>
      <c r="Q17" s="274"/>
      <c r="R17" s="376">
        <v>8.5153513290747995E-2</v>
      </c>
      <c r="S17" s="377">
        <v>2484.7986074878254</v>
      </c>
      <c r="T17" s="378">
        <v>3.8249999999999997</v>
      </c>
      <c r="U17" s="384">
        <v>9504.3546736409317</v>
      </c>
      <c r="V17" s="399">
        <v>0.32571218833711107</v>
      </c>
      <c r="W17" s="274"/>
      <c r="X17" s="379">
        <v>6.5090104026228257</v>
      </c>
      <c r="Y17" s="364">
        <f t="shared" si="1"/>
        <v>217042.95187545812</v>
      </c>
      <c r="AA17" s="269"/>
    </row>
    <row r="18" spans="1:27" ht="14.5" x14ac:dyDescent="0.35">
      <c r="A18" s="274">
        <v>2084</v>
      </c>
      <c r="B18" s="365" t="s">
        <v>53</v>
      </c>
      <c r="C18" s="366" t="s">
        <v>317</v>
      </c>
      <c r="D18" s="367"/>
      <c r="E18" s="368">
        <v>14462</v>
      </c>
      <c r="F18" s="368">
        <v>13065</v>
      </c>
      <c r="G18" s="368">
        <v>8385</v>
      </c>
      <c r="H18" s="369">
        <f t="shared" si="2"/>
        <v>35912</v>
      </c>
      <c r="I18" s="370">
        <v>5.8534000000000006</v>
      </c>
      <c r="J18" s="371">
        <f t="shared" si="0"/>
        <v>210207.30080000003</v>
      </c>
      <c r="K18" s="274"/>
      <c r="L18" s="372">
        <v>0.20631428571428573</v>
      </c>
      <c r="M18" s="373">
        <v>6483.757977582085</v>
      </c>
      <c r="N18" s="374">
        <v>11378.995250656561</v>
      </c>
      <c r="O18" s="375">
        <v>0.3620815714285715</v>
      </c>
      <c r="P18" s="305"/>
      <c r="Q18" s="305"/>
      <c r="R18" s="376">
        <v>0.16735274989640408</v>
      </c>
      <c r="S18" s="377">
        <v>5259.3291029481834</v>
      </c>
      <c r="T18" s="378">
        <v>3.8249999999999997</v>
      </c>
      <c r="U18" s="374">
        <v>20116.933818776801</v>
      </c>
      <c r="V18" s="399">
        <v>0.6401242683537457</v>
      </c>
      <c r="W18" s="274"/>
      <c r="X18" s="379">
        <v>6.8556058397823181</v>
      </c>
      <c r="Y18" s="364">
        <f t="shared" si="1"/>
        <v>246198.51691826261</v>
      </c>
      <c r="AA18" s="269"/>
    </row>
    <row r="19" spans="1:27" ht="14.5" x14ac:dyDescent="0.35">
      <c r="A19" s="274">
        <v>2010</v>
      </c>
      <c r="B19" s="365" t="s">
        <v>322</v>
      </c>
      <c r="C19" s="366" t="s">
        <v>317</v>
      </c>
      <c r="D19" s="367"/>
      <c r="E19" s="368">
        <v>21900</v>
      </c>
      <c r="F19" s="368">
        <v>15210</v>
      </c>
      <c r="G19" s="368">
        <v>10530</v>
      </c>
      <c r="H19" s="369">
        <f t="shared" si="2"/>
        <v>47640</v>
      </c>
      <c r="I19" s="370">
        <v>5.8534000000000006</v>
      </c>
      <c r="J19" s="371">
        <f t="shared" si="0"/>
        <v>278855.97600000002</v>
      </c>
      <c r="K19" s="274"/>
      <c r="L19" s="372">
        <v>0.17438888888888887</v>
      </c>
      <c r="M19" s="373">
        <v>7270.2352793644914</v>
      </c>
      <c r="N19" s="374">
        <v>12759.262915284684</v>
      </c>
      <c r="O19" s="375">
        <v>0.30605250000000001</v>
      </c>
      <c r="P19" s="305"/>
      <c r="Q19" s="305"/>
      <c r="R19" s="376">
        <v>5.8623560221832488E-2</v>
      </c>
      <c r="S19" s="377">
        <v>2444.0036199684223</v>
      </c>
      <c r="T19" s="378">
        <v>3.8249999999999997</v>
      </c>
      <c r="U19" s="374">
        <v>9348.3138463792147</v>
      </c>
      <c r="V19" s="399">
        <v>0.22423511784850925</v>
      </c>
      <c r="W19" s="274"/>
      <c r="X19" s="379">
        <v>6.3836876178485102</v>
      </c>
      <c r="Y19" s="364">
        <f t="shared" si="1"/>
        <v>304118.87811430305</v>
      </c>
      <c r="AA19" s="269"/>
    </row>
    <row r="20" spans="1:27" ht="14.5" x14ac:dyDescent="0.35">
      <c r="A20" s="274">
        <v>2012</v>
      </c>
      <c r="B20" s="365" t="s">
        <v>323</v>
      </c>
      <c r="C20" s="366" t="s">
        <v>317</v>
      </c>
      <c r="D20" s="367"/>
      <c r="E20" s="368">
        <v>12146</v>
      </c>
      <c r="F20" s="368">
        <v>9945</v>
      </c>
      <c r="G20" s="368">
        <v>7995</v>
      </c>
      <c r="H20" s="369">
        <f t="shared" si="2"/>
        <v>30086</v>
      </c>
      <c r="I20" s="370">
        <v>5.8534000000000006</v>
      </c>
      <c r="J20" s="371">
        <f t="shared" si="0"/>
        <v>176105.39240000001</v>
      </c>
      <c r="K20" s="274"/>
      <c r="L20" s="372">
        <v>0.12577272727272726</v>
      </c>
      <c r="M20" s="373">
        <v>3311.3785542857004</v>
      </c>
      <c r="N20" s="374">
        <v>5811.4693627714041</v>
      </c>
      <c r="O20" s="375">
        <v>0.22073113636363634</v>
      </c>
      <c r="P20" s="305"/>
      <c r="Q20" s="305"/>
      <c r="R20" s="376">
        <v>0.17142857142857143</v>
      </c>
      <c r="S20" s="377">
        <v>4513.4180305200316</v>
      </c>
      <c r="T20" s="378">
        <v>3.8249999999999997</v>
      </c>
      <c r="U20" s="374">
        <v>17263.823966739121</v>
      </c>
      <c r="V20" s="399">
        <v>0.65571428571428569</v>
      </c>
      <c r="W20" s="274"/>
      <c r="X20" s="379">
        <v>6.729845422077922</v>
      </c>
      <c r="Y20" s="364">
        <f t="shared" si="1"/>
        <v>202474.12936863635</v>
      </c>
      <c r="AA20" s="269"/>
    </row>
    <row r="21" spans="1:27" ht="14.5" x14ac:dyDescent="0.35">
      <c r="A21" s="274">
        <v>3410</v>
      </c>
      <c r="B21" s="365" t="s">
        <v>324</v>
      </c>
      <c r="C21" s="366" t="s">
        <v>317</v>
      </c>
      <c r="D21" s="367"/>
      <c r="E21" s="381">
        <v>6480</v>
      </c>
      <c r="F21" s="381">
        <v>6435</v>
      </c>
      <c r="G21" s="381">
        <v>6240</v>
      </c>
      <c r="H21" s="369">
        <f t="shared" si="2"/>
        <v>19155</v>
      </c>
      <c r="I21" s="370">
        <v>5.8534000000000006</v>
      </c>
      <c r="J21" s="382">
        <f t="shared" si="0"/>
        <v>112121.87700000001</v>
      </c>
      <c r="K21" s="274"/>
      <c r="L21" s="372">
        <v>0.18174999999999999</v>
      </c>
      <c r="M21" s="383">
        <v>3046.5932684941808</v>
      </c>
      <c r="N21" s="374">
        <v>5346.7711862072874</v>
      </c>
      <c r="O21" s="375">
        <v>0.31897124999999998</v>
      </c>
      <c r="P21" s="305"/>
      <c r="Q21" s="274"/>
      <c r="R21" s="376">
        <v>0</v>
      </c>
      <c r="S21" s="377">
        <v>0</v>
      </c>
      <c r="T21" s="378">
        <v>3.8249999999999997</v>
      </c>
      <c r="U21" s="384">
        <v>0</v>
      </c>
      <c r="V21" s="399">
        <v>0</v>
      </c>
      <c r="W21" s="274"/>
      <c r="X21" s="379">
        <v>6.1723712500000012</v>
      </c>
      <c r="Y21" s="364">
        <f t="shared" si="1"/>
        <v>118231.77129375002</v>
      </c>
      <c r="AA21" s="269"/>
    </row>
    <row r="22" spans="1:27" ht="14.5" x14ac:dyDescent="0.35">
      <c r="A22" s="274">
        <v>2078</v>
      </c>
      <c r="B22" s="365" t="s">
        <v>325</v>
      </c>
      <c r="C22" s="366" t="s">
        <v>317</v>
      </c>
      <c r="D22" s="367"/>
      <c r="E22" s="381">
        <v>15004</v>
      </c>
      <c r="F22" s="381">
        <v>17940</v>
      </c>
      <c r="G22" s="381">
        <v>17160</v>
      </c>
      <c r="H22" s="369">
        <f t="shared" si="2"/>
        <v>50104</v>
      </c>
      <c r="I22" s="370">
        <v>5.8534000000000006</v>
      </c>
      <c r="J22" s="382">
        <f t="shared" si="0"/>
        <v>293278.75360000005</v>
      </c>
      <c r="K22" s="274"/>
      <c r="L22" s="372">
        <v>0.17543750000000002</v>
      </c>
      <c r="M22" s="383">
        <v>7692.2383192073385</v>
      </c>
      <c r="N22" s="374">
        <v>13499.87825020888</v>
      </c>
      <c r="O22" s="375">
        <v>0.30789281250000006</v>
      </c>
      <c r="P22" s="305"/>
      <c r="Q22" s="274"/>
      <c r="R22" s="376">
        <v>0</v>
      </c>
      <c r="S22" s="377">
        <v>0</v>
      </c>
      <c r="T22" s="378">
        <v>3.8249999999999997</v>
      </c>
      <c r="U22" s="384">
        <v>0</v>
      </c>
      <c r="V22" s="399">
        <v>0</v>
      </c>
      <c r="W22" s="274"/>
      <c r="X22" s="379">
        <v>6.161292812500001</v>
      </c>
      <c r="Y22" s="364">
        <f t="shared" si="1"/>
        <v>308705.41507750005</v>
      </c>
      <c r="AA22" s="269"/>
    </row>
    <row r="23" spans="1:27" ht="14.5" x14ac:dyDescent="0.35">
      <c r="A23" s="274">
        <v>2016</v>
      </c>
      <c r="B23" s="365" t="s">
        <v>326</v>
      </c>
      <c r="C23" s="366" t="s">
        <v>317</v>
      </c>
      <c r="D23" s="367"/>
      <c r="E23" s="368">
        <v>21514</v>
      </c>
      <c r="F23" s="368">
        <v>11505</v>
      </c>
      <c r="G23" s="368">
        <v>11115</v>
      </c>
      <c r="H23" s="369">
        <f t="shared" si="2"/>
        <v>44134</v>
      </c>
      <c r="I23" s="370">
        <v>5.8534000000000006</v>
      </c>
      <c r="J23" s="371">
        <f t="shared" si="0"/>
        <v>258333.95560000002</v>
      </c>
      <c r="K23" s="274"/>
      <c r="L23" s="372">
        <v>0.15796296296296294</v>
      </c>
      <c r="M23" s="373">
        <v>6100.7954542883263</v>
      </c>
      <c r="N23" s="374">
        <v>10706.896022276012</v>
      </c>
      <c r="O23" s="375">
        <v>0.277225</v>
      </c>
      <c r="P23" s="305"/>
      <c r="Q23" s="305"/>
      <c r="R23" s="376">
        <v>1.6666666666666666E-2</v>
      </c>
      <c r="S23" s="377">
        <v>643.69471381705671</v>
      </c>
      <c r="T23" s="378">
        <v>3.8249999999999997</v>
      </c>
      <c r="U23" s="374">
        <v>2462.1322803502417</v>
      </c>
      <c r="V23" s="399">
        <v>6.3749999999999987E-2</v>
      </c>
      <c r="W23" s="274"/>
      <c r="X23" s="379">
        <v>6.1943750000000009</v>
      </c>
      <c r="Y23" s="364">
        <f t="shared" si="1"/>
        <v>273382.54625000001</v>
      </c>
      <c r="AA23" s="269"/>
    </row>
    <row r="24" spans="1:27" ht="14.5" x14ac:dyDescent="0.35">
      <c r="A24" s="274">
        <v>3307</v>
      </c>
      <c r="B24" s="365" t="s">
        <v>327</v>
      </c>
      <c r="C24" s="366" t="s">
        <v>317</v>
      </c>
      <c r="D24" s="367"/>
      <c r="E24" s="381">
        <v>8164</v>
      </c>
      <c r="F24" s="381">
        <v>7410</v>
      </c>
      <c r="G24" s="381">
        <v>6825</v>
      </c>
      <c r="H24" s="369">
        <f t="shared" si="2"/>
        <v>22399</v>
      </c>
      <c r="I24" s="370">
        <v>5.8534000000000006</v>
      </c>
      <c r="J24" s="382">
        <f t="shared" si="0"/>
        <v>131110.30660000001</v>
      </c>
      <c r="K24" s="274"/>
      <c r="L24" s="372">
        <v>0.16983653846153846</v>
      </c>
      <c r="M24" s="383">
        <v>3329.0296384391186</v>
      </c>
      <c r="N24" s="374">
        <v>5842.4470154606533</v>
      </c>
      <c r="O24" s="375">
        <v>0.29806312499999998</v>
      </c>
      <c r="P24" s="305"/>
      <c r="Q24" s="274"/>
      <c r="R24" s="376">
        <v>2.9620853080568721E-2</v>
      </c>
      <c r="S24" s="377">
        <v>580.60944196289711</v>
      </c>
      <c r="T24" s="378">
        <v>3.8249999999999997</v>
      </c>
      <c r="U24" s="384">
        <v>2220.8311155080814</v>
      </c>
      <c r="V24" s="399">
        <v>0.11329976303317536</v>
      </c>
      <c r="W24" s="274"/>
      <c r="X24" s="379">
        <v>6.2647628880331769</v>
      </c>
      <c r="Y24" s="364">
        <f t="shared" si="1"/>
        <v>140324.42392905513</v>
      </c>
      <c r="AA24" s="269"/>
    </row>
    <row r="25" spans="1:27" ht="14.5" x14ac:dyDescent="0.35">
      <c r="A25" s="274">
        <v>2019</v>
      </c>
      <c r="B25" s="365" t="s">
        <v>328</v>
      </c>
      <c r="C25" s="366" t="s">
        <v>317</v>
      </c>
      <c r="D25" s="367"/>
      <c r="E25" s="368">
        <v>18493</v>
      </c>
      <c r="F25" s="368">
        <v>13845</v>
      </c>
      <c r="G25" s="368">
        <v>11310</v>
      </c>
      <c r="H25" s="369">
        <f t="shared" si="2"/>
        <v>43648</v>
      </c>
      <c r="I25" s="370">
        <v>5.8534000000000006</v>
      </c>
      <c r="J25" s="371">
        <f t="shared" si="0"/>
        <v>255489.20320000002</v>
      </c>
      <c r="K25" s="274"/>
      <c r="L25" s="372">
        <v>0.12626559139784946</v>
      </c>
      <c r="M25" s="373">
        <v>4822.8890169225042</v>
      </c>
      <c r="N25" s="374">
        <v>8464.1702246989953</v>
      </c>
      <c r="O25" s="375">
        <v>0.22159611290322581</v>
      </c>
      <c r="P25" s="305"/>
      <c r="Q25" s="305"/>
      <c r="R25" s="376">
        <v>0.16163535968084647</v>
      </c>
      <c r="S25" s="377">
        <v>6173.8862687839928</v>
      </c>
      <c r="T25" s="378">
        <v>3.8249999999999997</v>
      </c>
      <c r="U25" s="374">
        <v>23615.114978098773</v>
      </c>
      <c r="V25" s="399">
        <v>0.61825525077923782</v>
      </c>
      <c r="W25" s="274"/>
      <c r="X25" s="379">
        <v>6.6932513636824638</v>
      </c>
      <c r="Y25" s="364">
        <f t="shared" si="1"/>
        <v>292147.03552201216</v>
      </c>
      <c r="AA25" s="269"/>
    </row>
    <row r="26" spans="1:27" ht="14.5" x14ac:dyDescent="0.35">
      <c r="A26" s="274">
        <v>2076</v>
      </c>
      <c r="B26" s="365" t="s">
        <v>329</v>
      </c>
      <c r="C26" s="366" t="s">
        <v>317</v>
      </c>
      <c r="D26" s="367"/>
      <c r="E26" s="381">
        <v>7876</v>
      </c>
      <c r="F26" s="381">
        <v>5070</v>
      </c>
      <c r="G26" s="381">
        <v>2730</v>
      </c>
      <c r="H26" s="369">
        <f t="shared" si="2"/>
        <v>15676</v>
      </c>
      <c r="I26" s="370">
        <v>5.8534000000000006</v>
      </c>
      <c r="J26" s="382">
        <f t="shared" si="0"/>
        <v>91757.898400000005</v>
      </c>
      <c r="K26" s="274"/>
      <c r="L26" s="372">
        <v>0.11</v>
      </c>
      <c r="M26" s="383">
        <v>1508.9881951115872</v>
      </c>
      <c r="N26" s="374">
        <v>2648.2742824208358</v>
      </c>
      <c r="O26" s="375">
        <v>0.19305000000000003</v>
      </c>
      <c r="P26" s="305"/>
      <c r="Q26" s="274"/>
      <c r="R26" s="376">
        <v>0</v>
      </c>
      <c r="S26" s="377">
        <v>0</v>
      </c>
      <c r="T26" s="378">
        <v>3.8249999999999997</v>
      </c>
      <c r="U26" s="384">
        <v>0</v>
      </c>
      <c r="V26" s="399">
        <v>0</v>
      </c>
      <c r="W26" s="274"/>
      <c r="X26" s="379">
        <v>6.046450000000001</v>
      </c>
      <c r="Y26" s="364">
        <f t="shared" si="1"/>
        <v>94784.150200000018</v>
      </c>
      <c r="AA26" s="269"/>
    </row>
    <row r="27" spans="1:27" ht="14.5" x14ac:dyDescent="0.35">
      <c r="A27" s="274">
        <v>2020</v>
      </c>
      <c r="B27" s="365" t="s">
        <v>330</v>
      </c>
      <c r="C27" s="366" t="s">
        <v>317</v>
      </c>
      <c r="D27" s="367"/>
      <c r="E27" s="381">
        <v>12411</v>
      </c>
      <c r="F27" s="381">
        <v>7410</v>
      </c>
      <c r="G27" s="381">
        <v>8775</v>
      </c>
      <c r="H27" s="369">
        <f t="shared" si="2"/>
        <v>28596</v>
      </c>
      <c r="I27" s="370">
        <v>5.8534000000000006</v>
      </c>
      <c r="J27" s="382">
        <f t="shared" si="0"/>
        <v>167383.82640000002</v>
      </c>
      <c r="K27" s="274"/>
      <c r="L27" s="372">
        <v>7.664379084967321E-2</v>
      </c>
      <c r="M27" s="383">
        <v>1917.9627481797343</v>
      </c>
      <c r="N27" s="374">
        <v>3366.0246230554339</v>
      </c>
      <c r="O27" s="375">
        <v>0.13450985294117651</v>
      </c>
      <c r="P27" s="305"/>
      <c r="Q27" s="274"/>
      <c r="R27" s="376">
        <v>0</v>
      </c>
      <c r="S27" s="377">
        <v>0</v>
      </c>
      <c r="T27" s="378">
        <v>3.8249999999999997</v>
      </c>
      <c r="U27" s="384">
        <v>0</v>
      </c>
      <c r="V27" s="399">
        <v>0</v>
      </c>
      <c r="W27" s="274"/>
      <c r="X27" s="379">
        <v>5.9879098529411774</v>
      </c>
      <c r="Y27" s="364">
        <f t="shared" si="1"/>
        <v>171230.27015470591</v>
      </c>
      <c r="AA27" s="269"/>
    </row>
    <row r="28" spans="1:27" ht="14.5" x14ac:dyDescent="0.35">
      <c r="A28" s="274">
        <v>5203</v>
      </c>
      <c r="B28" s="365" t="s">
        <v>331</v>
      </c>
      <c r="C28" s="366" t="s">
        <v>317</v>
      </c>
      <c r="D28" s="367"/>
      <c r="E28" s="381">
        <v>16560</v>
      </c>
      <c r="F28" s="381">
        <v>15795</v>
      </c>
      <c r="G28" s="381">
        <v>14625</v>
      </c>
      <c r="H28" s="369">
        <f t="shared" si="2"/>
        <v>46980</v>
      </c>
      <c r="I28" s="370">
        <v>5.8534000000000006</v>
      </c>
      <c r="J28" s="382">
        <f t="shared" si="0"/>
        <v>274992.73200000002</v>
      </c>
      <c r="K28" s="274"/>
      <c r="L28" s="372">
        <v>0.15696621621621626</v>
      </c>
      <c r="M28" s="383">
        <v>6453.2294067534185</v>
      </c>
      <c r="N28" s="374">
        <v>11325.417608852251</v>
      </c>
      <c r="O28" s="375">
        <v>0.27547570945945954</v>
      </c>
      <c r="P28" s="305"/>
      <c r="Q28" s="274"/>
      <c r="R28" s="376">
        <v>5.9054058901603472E-2</v>
      </c>
      <c r="S28" s="377">
        <v>2427.8433836172544</v>
      </c>
      <c r="T28" s="378">
        <v>3.8249999999999997</v>
      </c>
      <c r="U28" s="384">
        <v>9286.500942335997</v>
      </c>
      <c r="V28" s="399">
        <v>0.22588177529863326</v>
      </c>
      <c r="W28" s="274"/>
      <c r="X28" s="379">
        <v>6.3547574847580925</v>
      </c>
      <c r="Y28" s="364">
        <f t="shared" si="1"/>
        <v>298546.50663393521</v>
      </c>
      <c r="AA28" s="269"/>
    </row>
    <row r="29" spans="1:27" ht="14.5" x14ac:dyDescent="0.35">
      <c r="A29" s="274">
        <v>2024</v>
      </c>
      <c r="B29" s="365" t="s">
        <v>332</v>
      </c>
      <c r="C29" s="366" t="s">
        <v>317</v>
      </c>
      <c r="D29" s="367"/>
      <c r="E29" s="368">
        <v>8222</v>
      </c>
      <c r="F29" s="368">
        <v>6045</v>
      </c>
      <c r="G29" s="368">
        <v>6825</v>
      </c>
      <c r="H29" s="369">
        <f t="shared" si="2"/>
        <v>21092</v>
      </c>
      <c r="I29" s="370">
        <v>5.8534000000000006</v>
      </c>
      <c r="J29" s="371">
        <f t="shared" si="0"/>
        <v>123459.91280000001</v>
      </c>
      <c r="K29" s="274"/>
      <c r="L29" s="372">
        <v>0.16071764705882352</v>
      </c>
      <c r="M29" s="373">
        <v>2966.4650132651559</v>
      </c>
      <c r="N29" s="374">
        <v>5206.1460982803492</v>
      </c>
      <c r="O29" s="375">
        <v>0.28205947058823533</v>
      </c>
      <c r="P29" s="305"/>
      <c r="Q29" s="305"/>
      <c r="R29" s="376">
        <v>3.0053567320648067E-2</v>
      </c>
      <c r="S29" s="377">
        <v>554.71727972648262</v>
      </c>
      <c r="T29" s="378">
        <v>3.8249999999999997</v>
      </c>
      <c r="U29" s="374">
        <v>2121.7935949537959</v>
      </c>
      <c r="V29" s="399">
        <v>0.11495489500147885</v>
      </c>
      <c r="W29" s="274"/>
      <c r="X29" s="379">
        <v>6.2504143655897151</v>
      </c>
      <c r="Y29" s="364">
        <f t="shared" si="1"/>
        <v>131833.73979901828</v>
      </c>
      <c r="AA29" s="269"/>
    </row>
    <row r="30" spans="1:27" ht="14.5" x14ac:dyDescent="0.35">
      <c r="A30" s="274">
        <v>2025</v>
      </c>
      <c r="B30" s="365" t="s">
        <v>333</v>
      </c>
      <c r="C30" s="366" t="s">
        <v>317</v>
      </c>
      <c r="D30" s="367"/>
      <c r="E30" s="381">
        <v>7020</v>
      </c>
      <c r="F30" s="381">
        <v>5850</v>
      </c>
      <c r="G30" s="381">
        <v>3315</v>
      </c>
      <c r="H30" s="369">
        <f t="shared" si="2"/>
        <v>16185</v>
      </c>
      <c r="I30" s="370">
        <v>5.8534000000000006</v>
      </c>
      <c r="J30" s="382">
        <f t="shared" si="0"/>
        <v>94737.27900000001</v>
      </c>
      <c r="K30" s="274"/>
      <c r="L30" s="372">
        <v>0.158</v>
      </c>
      <c r="M30" s="383">
        <v>2237.8330987642976</v>
      </c>
      <c r="N30" s="374">
        <v>3927.3970883313423</v>
      </c>
      <c r="O30" s="375">
        <v>0.27728999999999998</v>
      </c>
      <c r="P30" s="305"/>
      <c r="Q30" s="274"/>
      <c r="R30" s="376">
        <v>0</v>
      </c>
      <c r="S30" s="377">
        <v>0</v>
      </c>
      <c r="T30" s="378">
        <v>3.8249999999999997</v>
      </c>
      <c r="U30" s="384">
        <v>0</v>
      </c>
      <c r="V30" s="399">
        <v>0</v>
      </c>
      <c r="W30" s="274"/>
      <c r="X30" s="379">
        <v>6.1306900000000013</v>
      </c>
      <c r="Y30" s="364">
        <f t="shared" si="1"/>
        <v>99225.217650000021</v>
      </c>
      <c r="AA30" s="269"/>
    </row>
    <row r="31" spans="1:27" ht="14.5" x14ac:dyDescent="0.35">
      <c r="A31" s="274">
        <v>2026</v>
      </c>
      <c r="B31" s="365" t="s">
        <v>334</v>
      </c>
      <c r="C31" s="366" t="s">
        <v>317</v>
      </c>
      <c r="D31" s="367"/>
      <c r="E31" s="368">
        <v>5760</v>
      </c>
      <c r="F31" s="368">
        <v>4680</v>
      </c>
      <c r="G31" s="368">
        <v>3315</v>
      </c>
      <c r="H31" s="369">
        <f t="shared" si="2"/>
        <v>13755</v>
      </c>
      <c r="I31" s="370">
        <v>5.8534000000000006</v>
      </c>
      <c r="J31" s="371">
        <f t="shared" si="0"/>
        <v>80513.517000000007</v>
      </c>
      <c r="K31" s="274"/>
      <c r="L31" s="372">
        <v>0.20168333333333333</v>
      </c>
      <c r="M31" s="373">
        <v>2427.6636054354308</v>
      </c>
      <c r="N31" s="374">
        <v>4260.5496275391815</v>
      </c>
      <c r="O31" s="375">
        <v>0.35395425000000003</v>
      </c>
      <c r="P31" s="305"/>
      <c r="Q31" s="305"/>
      <c r="R31" s="376">
        <v>0.4</v>
      </c>
      <c r="S31" s="377">
        <v>4814.8026221345626</v>
      </c>
      <c r="T31" s="378">
        <v>3.8249999999999997</v>
      </c>
      <c r="U31" s="374">
        <v>18416.6200296647</v>
      </c>
      <c r="V31" s="399">
        <v>1.53</v>
      </c>
      <c r="W31" s="274"/>
      <c r="X31" s="379">
        <v>7.7373542500000001</v>
      </c>
      <c r="Y31" s="364">
        <f t="shared" si="1"/>
        <v>106427.30770875</v>
      </c>
      <c r="AA31" s="269"/>
    </row>
    <row r="32" spans="1:27" ht="14.5" x14ac:dyDescent="0.35">
      <c r="A32" s="274">
        <v>5211</v>
      </c>
      <c r="B32" s="365" t="s">
        <v>335</v>
      </c>
      <c r="C32" s="366" t="s">
        <v>317</v>
      </c>
      <c r="D32" s="367"/>
      <c r="E32" s="368">
        <v>15465</v>
      </c>
      <c r="F32" s="368">
        <v>14235</v>
      </c>
      <c r="G32" s="368">
        <v>10920</v>
      </c>
      <c r="H32" s="369">
        <f t="shared" si="2"/>
        <v>40620</v>
      </c>
      <c r="I32" s="370">
        <v>5.8534000000000006</v>
      </c>
      <c r="J32" s="371">
        <f t="shared" si="0"/>
        <v>237765.10800000004</v>
      </c>
      <c r="K32" s="274"/>
      <c r="L32" s="372">
        <v>0.154</v>
      </c>
      <c r="M32" s="373">
        <v>5474.1733018375699</v>
      </c>
      <c r="N32" s="374">
        <v>9607.1741447249351</v>
      </c>
      <c r="O32" s="375">
        <v>0.27027000000000001</v>
      </c>
      <c r="P32" s="305"/>
      <c r="Q32" s="305"/>
      <c r="R32" s="376">
        <v>9.1491386462349333E-2</v>
      </c>
      <c r="S32" s="377">
        <v>3252.2058774045195</v>
      </c>
      <c r="T32" s="378">
        <v>3.8249999999999997</v>
      </c>
      <c r="U32" s="374">
        <v>12439.687481072286</v>
      </c>
      <c r="V32" s="399">
        <v>0.34995455321848618</v>
      </c>
      <c r="W32" s="274"/>
      <c r="X32" s="379">
        <v>6.4736245532184871</v>
      </c>
      <c r="Y32" s="364">
        <f t="shared" si="1"/>
        <v>262958.62935173494</v>
      </c>
      <c r="AA32" s="269"/>
    </row>
    <row r="33" spans="1:27" ht="14.5" x14ac:dyDescent="0.35">
      <c r="A33" s="274">
        <v>2029</v>
      </c>
      <c r="B33" s="365" t="s">
        <v>336</v>
      </c>
      <c r="C33" s="366" t="s">
        <v>317</v>
      </c>
      <c r="D33" s="367"/>
      <c r="E33" s="368">
        <v>7200</v>
      </c>
      <c r="F33" s="368">
        <v>6240</v>
      </c>
      <c r="G33" s="368">
        <v>6825</v>
      </c>
      <c r="H33" s="369">
        <f t="shared" si="2"/>
        <v>20265</v>
      </c>
      <c r="I33" s="370">
        <v>5.8534000000000006</v>
      </c>
      <c r="J33" s="371">
        <f t="shared" si="0"/>
        <v>118619.15100000001</v>
      </c>
      <c r="K33" s="274"/>
      <c r="L33" s="372">
        <v>0.1704</v>
      </c>
      <c r="M33" s="373">
        <v>3021.8583357760263</v>
      </c>
      <c r="N33" s="374">
        <v>5303.3613792869264</v>
      </c>
      <c r="O33" s="375">
        <v>0.29905200000000004</v>
      </c>
      <c r="P33" s="305"/>
      <c r="Q33" s="305"/>
      <c r="R33" s="376">
        <v>2.7901785714285716E-2</v>
      </c>
      <c r="S33" s="377">
        <v>494.80776844924139</v>
      </c>
      <c r="T33" s="378">
        <v>3.8249999999999997</v>
      </c>
      <c r="U33" s="374">
        <v>1892.6397143183483</v>
      </c>
      <c r="V33" s="399">
        <v>0.10672433035714286</v>
      </c>
      <c r="W33" s="274"/>
      <c r="X33" s="379">
        <v>6.2591763303571435</v>
      </c>
      <c r="Y33" s="364">
        <f t="shared" si="1"/>
        <v>126842.20833468752</v>
      </c>
      <c r="AA33" s="269"/>
    </row>
    <row r="34" spans="1:27" ht="14.5" x14ac:dyDescent="0.35">
      <c r="A34" s="274">
        <v>2061</v>
      </c>
      <c r="B34" s="365" t="s">
        <v>337</v>
      </c>
      <c r="C34" s="366" t="s">
        <v>317</v>
      </c>
      <c r="D34" s="367"/>
      <c r="E34" s="368">
        <v>5400</v>
      </c>
      <c r="F34" s="368">
        <v>6240</v>
      </c>
      <c r="G34" s="368">
        <v>5655</v>
      </c>
      <c r="H34" s="369">
        <f t="shared" si="2"/>
        <v>17295</v>
      </c>
      <c r="I34" s="370">
        <v>5.8534000000000006</v>
      </c>
      <c r="J34" s="371">
        <f t="shared" si="0"/>
        <v>101234.55300000001</v>
      </c>
      <c r="K34" s="274"/>
      <c r="L34" s="372">
        <v>0.15611111111111112</v>
      </c>
      <c r="M34" s="373">
        <v>2362.7201410899725</v>
      </c>
      <c r="N34" s="374">
        <v>4146.5738476129018</v>
      </c>
      <c r="O34" s="375">
        <v>0.27397500000000002</v>
      </c>
      <c r="P34" s="305"/>
      <c r="Q34" s="305"/>
      <c r="R34" s="376">
        <v>0.11764705882352941</v>
      </c>
      <c r="S34" s="377">
        <v>1780.5720133815994</v>
      </c>
      <c r="T34" s="378">
        <v>3.8249999999999997</v>
      </c>
      <c r="U34" s="374">
        <v>6810.6879511846173</v>
      </c>
      <c r="V34" s="399">
        <v>0.44999999999999996</v>
      </c>
      <c r="W34" s="274"/>
      <c r="X34" s="379">
        <v>6.5773750000000017</v>
      </c>
      <c r="Y34" s="364">
        <f t="shared" si="1"/>
        <v>113755.70062500003</v>
      </c>
      <c r="AA34" s="269"/>
    </row>
    <row r="35" spans="1:27" ht="14.5" x14ac:dyDescent="0.35">
      <c r="A35" s="274">
        <v>2021</v>
      </c>
      <c r="B35" s="365" t="s">
        <v>338</v>
      </c>
      <c r="C35" s="366" t="s">
        <v>317</v>
      </c>
      <c r="D35" s="367"/>
      <c r="E35" s="381">
        <v>4860</v>
      </c>
      <c r="F35" s="381">
        <v>12090</v>
      </c>
      <c r="G35" s="381">
        <v>8385</v>
      </c>
      <c r="H35" s="369">
        <f t="shared" si="2"/>
        <v>25335</v>
      </c>
      <c r="I35" s="370">
        <v>5.8534000000000006</v>
      </c>
      <c r="J35" s="382">
        <f t="shared" si="0"/>
        <v>148295.88900000002</v>
      </c>
      <c r="K35" s="274"/>
      <c r="L35" s="372">
        <v>0.158</v>
      </c>
      <c r="M35" s="383">
        <v>3502.9658052019454</v>
      </c>
      <c r="N35" s="374">
        <v>6147.7049881294142</v>
      </c>
      <c r="O35" s="375">
        <v>0.27729000000000004</v>
      </c>
      <c r="P35" s="305"/>
      <c r="Q35" s="274"/>
      <c r="R35" s="376">
        <v>0</v>
      </c>
      <c r="S35" s="377">
        <v>0</v>
      </c>
      <c r="T35" s="378">
        <v>3.8249999999999997</v>
      </c>
      <c r="U35" s="384">
        <v>0</v>
      </c>
      <c r="V35" s="399">
        <v>0</v>
      </c>
      <c r="W35" s="274"/>
      <c r="X35" s="379">
        <v>6.1306900000000013</v>
      </c>
      <c r="Y35" s="364">
        <f t="shared" si="1"/>
        <v>155321.03115000002</v>
      </c>
      <c r="AA35" s="269"/>
    </row>
    <row r="36" spans="1:27" ht="14.5" x14ac:dyDescent="0.35">
      <c r="A36" s="274">
        <v>2063</v>
      </c>
      <c r="B36" s="365" t="s">
        <v>339</v>
      </c>
      <c r="C36" s="366" t="s">
        <v>317</v>
      </c>
      <c r="D36" s="367"/>
      <c r="E36" s="368">
        <v>6660</v>
      </c>
      <c r="F36" s="368">
        <v>5655</v>
      </c>
      <c r="G36" s="368">
        <v>1950</v>
      </c>
      <c r="H36" s="369">
        <f t="shared" si="2"/>
        <v>14265</v>
      </c>
      <c r="I36" s="370">
        <v>5.8534000000000006</v>
      </c>
      <c r="J36" s="371">
        <f t="shared" si="0"/>
        <v>83498.751000000004</v>
      </c>
      <c r="K36" s="274"/>
      <c r="L36" s="372">
        <v>0.15421428571428572</v>
      </c>
      <c r="M36" s="373">
        <v>1925.1043926215693</v>
      </c>
      <c r="N36" s="374">
        <v>3378.5582090508542</v>
      </c>
      <c r="O36" s="375">
        <v>0.27064607142857144</v>
      </c>
      <c r="P36" s="305"/>
      <c r="Q36" s="305"/>
      <c r="R36" s="376">
        <v>8.1967213114754092E-2</v>
      </c>
      <c r="S36" s="377">
        <v>1023.2219491682537</v>
      </c>
      <c r="T36" s="378">
        <v>3.8249999999999997</v>
      </c>
      <c r="U36" s="374">
        <v>3913.82395556857</v>
      </c>
      <c r="V36" s="399">
        <v>0.31352459016393436</v>
      </c>
      <c r="W36" s="274"/>
      <c r="X36" s="379">
        <v>6.4375706615925061</v>
      </c>
      <c r="Y36" s="364">
        <f t="shared" si="1"/>
        <v>91831.945487617093</v>
      </c>
      <c r="AA36" s="269"/>
    </row>
    <row r="37" spans="1:27" ht="14.5" x14ac:dyDescent="0.35">
      <c r="A37" s="274">
        <v>2081</v>
      </c>
      <c r="B37" s="365" t="s">
        <v>340</v>
      </c>
      <c r="C37" s="366" t="s">
        <v>317</v>
      </c>
      <c r="D37" s="367"/>
      <c r="E37" s="381">
        <v>15300</v>
      </c>
      <c r="F37" s="381">
        <v>13455</v>
      </c>
      <c r="G37" s="381">
        <v>13260</v>
      </c>
      <c r="H37" s="369">
        <f t="shared" si="2"/>
        <v>42015</v>
      </c>
      <c r="I37" s="370">
        <v>5.8534000000000006</v>
      </c>
      <c r="J37" s="382">
        <f t="shared" si="0"/>
        <v>245930.60100000002</v>
      </c>
      <c r="K37" s="274"/>
      <c r="L37" s="372">
        <v>0.16047500000000003</v>
      </c>
      <c r="M37" s="383">
        <v>5900.2396882620242</v>
      </c>
      <c r="N37" s="374">
        <v>10354.920652899853</v>
      </c>
      <c r="O37" s="375">
        <v>0.28163362500000005</v>
      </c>
      <c r="P37" s="305"/>
      <c r="Q37" s="274"/>
      <c r="R37" s="376">
        <v>1.1477780335593855E-2</v>
      </c>
      <c r="S37" s="377">
        <v>422.00750938915257</v>
      </c>
      <c r="T37" s="378">
        <v>3.8249999999999997</v>
      </c>
      <c r="U37" s="384">
        <v>1614.1787234135086</v>
      </c>
      <c r="V37" s="399">
        <v>4.3902509783646494E-2</v>
      </c>
      <c r="W37" s="274"/>
      <c r="X37" s="379">
        <v>6.1789361347836467</v>
      </c>
      <c r="Y37" s="364">
        <f t="shared" si="1"/>
        <v>259608.00170293491</v>
      </c>
      <c r="AA37" s="269"/>
    </row>
    <row r="38" spans="1:27" ht="14.5" x14ac:dyDescent="0.35">
      <c r="A38" s="274">
        <v>5204</v>
      </c>
      <c r="B38" s="365" t="s">
        <v>341</v>
      </c>
      <c r="C38" s="366" t="s">
        <v>317</v>
      </c>
      <c r="D38" s="367"/>
      <c r="E38" s="381">
        <v>12744</v>
      </c>
      <c r="F38" s="381">
        <v>9945</v>
      </c>
      <c r="G38" s="381">
        <v>6825</v>
      </c>
      <c r="H38" s="369">
        <f t="shared" si="2"/>
        <v>29514</v>
      </c>
      <c r="I38" s="370">
        <v>5.8534000000000006</v>
      </c>
      <c r="J38" s="382">
        <f t="shared" si="0"/>
        <v>172757.24760000003</v>
      </c>
      <c r="K38" s="274"/>
      <c r="L38" s="372">
        <v>0.15238888888888888</v>
      </c>
      <c r="M38" s="383">
        <v>3935.8566988720345</v>
      </c>
      <c r="N38" s="374">
        <v>6907.4285065204213</v>
      </c>
      <c r="O38" s="375">
        <v>0.26744250000000003</v>
      </c>
      <c r="P38" s="305"/>
      <c r="Q38" s="274"/>
      <c r="R38" s="376">
        <v>3.2242823577484932E-2</v>
      </c>
      <c r="S38" s="377">
        <v>832.75843857961297</v>
      </c>
      <c r="T38" s="378">
        <v>3.8249999999999997</v>
      </c>
      <c r="U38" s="384">
        <v>3185.3010275670194</v>
      </c>
      <c r="V38" s="399">
        <v>0.12332880018387986</v>
      </c>
      <c r="W38" s="274"/>
      <c r="X38" s="379">
        <v>6.244171300183881</v>
      </c>
      <c r="Y38" s="364">
        <f t="shared" si="1"/>
        <v>184290.47175362706</v>
      </c>
      <c r="AA38" s="269"/>
    </row>
    <row r="39" spans="1:27" ht="14.5" x14ac:dyDescent="0.35">
      <c r="A39" s="274">
        <v>3302</v>
      </c>
      <c r="B39" s="365" t="s">
        <v>342</v>
      </c>
      <c r="C39" s="366" t="s">
        <v>317</v>
      </c>
      <c r="D39" s="367"/>
      <c r="E39" s="381">
        <v>4485</v>
      </c>
      <c r="F39" s="381">
        <v>2730</v>
      </c>
      <c r="G39" s="381">
        <v>4485</v>
      </c>
      <c r="H39" s="369">
        <f t="shared" si="2"/>
        <v>11700</v>
      </c>
      <c r="I39" s="370">
        <v>5.8534000000000006</v>
      </c>
      <c r="J39" s="382">
        <f t="shared" si="0"/>
        <v>68484.780000000013</v>
      </c>
      <c r="K39" s="274"/>
      <c r="L39" s="372">
        <v>0.16299999999999998</v>
      </c>
      <c r="M39" s="383">
        <v>1668.9040495588556</v>
      </c>
      <c r="N39" s="374">
        <v>2928.9266069757919</v>
      </c>
      <c r="O39" s="375">
        <v>0.28606500000000001</v>
      </c>
      <c r="P39" s="305"/>
      <c r="Q39" s="274"/>
      <c r="R39" s="376">
        <v>0</v>
      </c>
      <c r="S39" s="377">
        <v>0</v>
      </c>
      <c r="T39" s="378">
        <v>3.8249999999999997</v>
      </c>
      <c r="U39" s="384">
        <v>0</v>
      </c>
      <c r="V39" s="399">
        <v>0</v>
      </c>
      <c r="W39" s="274"/>
      <c r="X39" s="379">
        <v>6.1394650000000013</v>
      </c>
      <c r="Y39" s="364">
        <f t="shared" si="1"/>
        <v>71831.740500000014</v>
      </c>
      <c r="AA39" s="269"/>
    </row>
    <row r="40" spans="1:27" ht="14.5" x14ac:dyDescent="0.35">
      <c r="A40" s="274">
        <v>2027</v>
      </c>
      <c r="B40" s="365" t="s">
        <v>343</v>
      </c>
      <c r="C40" s="366" t="s">
        <v>317</v>
      </c>
      <c r="D40" s="367"/>
      <c r="E40" s="368">
        <v>8280</v>
      </c>
      <c r="F40" s="368">
        <v>8970</v>
      </c>
      <c r="G40" s="368">
        <v>10530</v>
      </c>
      <c r="H40" s="369">
        <f t="shared" si="2"/>
        <v>27780</v>
      </c>
      <c r="I40" s="370">
        <v>5.8534000000000006</v>
      </c>
      <c r="J40" s="371">
        <f t="shared" si="0"/>
        <v>162607.45200000002</v>
      </c>
      <c r="K40" s="274"/>
      <c r="L40" s="372">
        <v>0.14232411067193673</v>
      </c>
      <c r="M40" s="373">
        <v>3459.9404370951529</v>
      </c>
      <c r="N40" s="374">
        <v>6072.1954671019939</v>
      </c>
      <c r="O40" s="375">
        <v>0.249778814229249</v>
      </c>
      <c r="P40" s="305"/>
      <c r="Q40" s="305"/>
      <c r="R40" s="376">
        <v>2.4550615163998063E-2</v>
      </c>
      <c r="S40" s="377">
        <v>596.8325799504006</v>
      </c>
      <c r="T40" s="378">
        <v>3.8249999999999997</v>
      </c>
      <c r="U40" s="374">
        <v>2282.8846183102823</v>
      </c>
      <c r="V40" s="399">
        <v>9.3906103002292587E-2</v>
      </c>
      <c r="W40" s="274"/>
      <c r="X40" s="379">
        <v>6.1970849172315416</v>
      </c>
      <c r="Y40" s="364">
        <f t="shared" si="1"/>
        <v>172155.01900069223</v>
      </c>
      <c r="AA40" s="269"/>
    </row>
    <row r="41" spans="1:27" ht="14.5" x14ac:dyDescent="0.35">
      <c r="A41" s="274">
        <v>2032</v>
      </c>
      <c r="B41" s="365" t="s">
        <v>474</v>
      </c>
      <c r="C41" s="366" t="s">
        <v>317</v>
      </c>
      <c r="D41" s="367"/>
      <c r="E41" s="368">
        <v>14040</v>
      </c>
      <c r="F41" s="368">
        <v>12480</v>
      </c>
      <c r="G41" s="368">
        <v>11505</v>
      </c>
      <c r="H41" s="369">
        <f t="shared" si="2"/>
        <v>38025</v>
      </c>
      <c r="I41" s="370">
        <v>5.8534000000000006</v>
      </c>
      <c r="J41" s="371">
        <f t="shared" si="0"/>
        <v>222575.53500000003</v>
      </c>
      <c r="K41" s="274"/>
      <c r="L41" s="372">
        <v>9.0241106719367581E-2</v>
      </c>
      <c r="M41" s="373">
        <v>3002.8354750431445</v>
      </c>
      <c r="N41" s="374">
        <v>5269.976258700719</v>
      </c>
      <c r="O41" s="375">
        <v>0.15837314229249011</v>
      </c>
      <c r="P41" s="305"/>
      <c r="Q41" s="305"/>
      <c r="R41" s="376">
        <v>5.3727825596347131E-2</v>
      </c>
      <c r="S41" s="377">
        <v>1787.8306967063859</v>
      </c>
      <c r="T41" s="378">
        <v>3.8249999999999997</v>
      </c>
      <c r="U41" s="374">
        <v>6838.4524149019253</v>
      </c>
      <c r="V41" s="399">
        <v>0.20550893290602776</v>
      </c>
      <c r="W41" s="274"/>
      <c r="X41" s="379">
        <v>6.2172820751985176</v>
      </c>
      <c r="Y41" s="364">
        <f t="shared" si="1"/>
        <v>236412.15090942362</v>
      </c>
      <c r="AA41" s="269"/>
    </row>
    <row r="42" spans="1:27" ht="14.5" x14ac:dyDescent="0.35">
      <c r="A42" s="274">
        <v>2028</v>
      </c>
      <c r="B42" s="365" t="s">
        <v>344</v>
      </c>
      <c r="C42" s="366" t="s">
        <v>317</v>
      </c>
      <c r="D42" s="367"/>
      <c r="E42" s="368">
        <v>11700</v>
      </c>
      <c r="F42" s="368">
        <v>13845</v>
      </c>
      <c r="G42" s="368">
        <v>10920</v>
      </c>
      <c r="H42" s="369">
        <f t="shared" si="2"/>
        <v>36465</v>
      </c>
      <c r="I42" s="370">
        <v>5.8534000000000006</v>
      </c>
      <c r="J42" s="371">
        <f t="shared" si="0"/>
        <v>213444.23100000003</v>
      </c>
      <c r="K42" s="274"/>
      <c r="L42" s="372">
        <v>0.18308333333333335</v>
      </c>
      <c r="M42" s="373">
        <v>5842.287583646139</v>
      </c>
      <c r="N42" s="374">
        <v>10253.214709298974</v>
      </c>
      <c r="O42" s="375">
        <v>0.32131125000000005</v>
      </c>
      <c r="P42" s="305"/>
      <c r="Q42" s="305"/>
      <c r="R42" s="376">
        <v>0</v>
      </c>
      <c r="S42" s="377">
        <v>0</v>
      </c>
      <c r="T42" s="378">
        <v>3.8249999999999997</v>
      </c>
      <c r="U42" s="374">
        <v>0</v>
      </c>
      <c r="V42" s="399">
        <v>0</v>
      </c>
      <c r="W42" s="274"/>
      <c r="X42" s="379">
        <v>6.1747112500000014</v>
      </c>
      <c r="Y42" s="364">
        <f t="shared" si="1"/>
        <v>225160.84573125004</v>
      </c>
      <c r="AA42" s="269"/>
    </row>
    <row r="43" spans="1:27" ht="14.5" x14ac:dyDescent="0.35">
      <c r="A43" s="274">
        <v>2017</v>
      </c>
      <c r="B43" s="365" t="s">
        <v>345</v>
      </c>
      <c r="C43" s="366" t="s">
        <v>317</v>
      </c>
      <c r="D43" s="367"/>
      <c r="E43" s="368">
        <v>6120</v>
      </c>
      <c r="F43" s="368">
        <v>9945</v>
      </c>
      <c r="G43" s="368">
        <v>8970</v>
      </c>
      <c r="H43" s="369">
        <f t="shared" si="2"/>
        <v>25035</v>
      </c>
      <c r="I43" s="370">
        <v>5.8534000000000006</v>
      </c>
      <c r="J43" s="371">
        <f t="shared" si="0"/>
        <v>146539.86900000001</v>
      </c>
      <c r="K43" s="274"/>
      <c r="L43" s="372">
        <v>0.21036363636363636</v>
      </c>
      <c r="M43" s="373">
        <v>4608.6758956222711</v>
      </c>
      <c r="N43" s="374">
        <v>8088.226196817086</v>
      </c>
      <c r="O43" s="375">
        <v>0.3691881818181818</v>
      </c>
      <c r="P43" s="305"/>
      <c r="Q43" s="305"/>
      <c r="R43" s="376">
        <v>0.17857142857142858</v>
      </c>
      <c r="S43" s="377">
        <v>3912.1677716265112</v>
      </c>
      <c r="T43" s="378">
        <v>3.8249999999999997</v>
      </c>
      <c r="U43" s="374">
        <v>14964.041726471405</v>
      </c>
      <c r="V43" s="399">
        <v>0.6830357142857143</v>
      </c>
      <c r="W43" s="274"/>
      <c r="X43" s="379">
        <v>6.905623896103898</v>
      </c>
      <c r="Y43" s="364">
        <f t="shared" si="1"/>
        <v>172882.2942389611</v>
      </c>
      <c r="AA43" s="269"/>
    </row>
    <row r="44" spans="1:27" ht="14.5" x14ac:dyDescent="0.35">
      <c r="A44" s="274">
        <v>1000</v>
      </c>
      <c r="B44" s="365" t="s">
        <v>346</v>
      </c>
      <c r="C44" s="366" t="s">
        <v>317</v>
      </c>
      <c r="D44" s="367"/>
      <c r="E44" s="368">
        <v>23085</v>
      </c>
      <c r="F44" s="368">
        <v>33540</v>
      </c>
      <c r="G44" s="368">
        <v>25545</v>
      </c>
      <c r="H44" s="369">
        <f t="shared" si="2"/>
        <v>82170</v>
      </c>
      <c r="I44" s="370">
        <v>5.8534000000000006</v>
      </c>
      <c r="J44" s="419">
        <f t="shared" ref="J44:J68" si="3">I44*H44</f>
        <v>480973.87800000003</v>
      </c>
      <c r="K44" s="274"/>
      <c r="L44" s="420">
        <v>0.18382758620689699</v>
      </c>
      <c r="M44" s="373">
        <v>13218.490824762868</v>
      </c>
      <c r="N44" s="421">
        <v>23198.451397458834</v>
      </c>
      <c r="O44" s="375">
        <v>0.32261741379310421</v>
      </c>
      <c r="P44" s="301"/>
      <c r="Q44" s="301"/>
      <c r="R44" s="422">
        <v>0.25333333333333335</v>
      </c>
      <c r="S44" s="423">
        <v>18216.440803962541</v>
      </c>
      <c r="T44" s="378">
        <v>3.8249999999999997</v>
      </c>
      <c r="U44" s="424">
        <v>69677.886075156712</v>
      </c>
      <c r="V44" s="425">
        <v>0.96899999999999986</v>
      </c>
      <c r="W44" s="274"/>
      <c r="X44" s="379">
        <v>7.1450174137931057</v>
      </c>
      <c r="Y44" s="426">
        <f t="shared" ref="Y44:Y68" si="4">SUM(H44*X44)</f>
        <v>587106.0808913795</v>
      </c>
      <c r="AA44" s="269"/>
    </row>
    <row r="45" spans="1:27" ht="14.5" x14ac:dyDescent="0.35">
      <c r="A45" s="274">
        <v>2037</v>
      </c>
      <c r="B45" s="365" t="s">
        <v>347</v>
      </c>
      <c r="C45" s="366" t="s">
        <v>317</v>
      </c>
      <c r="D45" s="367"/>
      <c r="E45" s="381">
        <v>18180</v>
      </c>
      <c r="F45" s="381">
        <v>20475</v>
      </c>
      <c r="G45" s="381">
        <v>17940</v>
      </c>
      <c r="H45" s="369">
        <f t="shared" si="2"/>
        <v>56595</v>
      </c>
      <c r="I45" s="370">
        <v>5.8534000000000006</v>
      </c>
      <c r="J45" s="382">
        <f t="shared" si="3"/>
        <v>331273.17300000001</v>
      </c>
      <c r="K45" s="274"/>
      <c r="L45" s="372">
        <v>0.18106818181818182</v>
      </c>
      <c r="M45" s="383">
        <v>8967.6387978852908</v>
      </c>
      <c r="N45" s="374">
        <v>15738.206090288686</v>
      </c>
      <c r="O45" s="375">
        <v>0.31777465909090913</v>
      </c>
      <c r="P45" s="305"/>
      <c r="Q45" s="274"/>
      <c r="R45" s="376">
        <v>8.3333333333333329E-2</v>
      </c>
      <c r="S45" s="377">
        <v>4127.1924512253954</v>
      </c>
      <c r="T45" s="378">
        <v>3.8249999999999997</v>
      </c>
      <c r="U45" s="384">
        <v>15786.511125937137</v>
      </c>
      <c r="V45" s="399">
        <v>0.31874999999999992</v>
      </c>
      <c r="W45" s="274"/>
      <c r="X45" s="379">
        <v>6.489924659090911</v>
      </c>
      <c r="Y45" s="364">
        <f t="shared" si="4"/>
        <v>367297.28608125012</v>
      </c>
      <c r="AA45" s="269"/>
    </row>
    <row r="46" spans="1:27" ht="14.5" x14ac:dyDescent="0.35">
      <c r="A46" s="274">
        <v>2039</v>
      </c>
      <c r="B46" s="365" t="s">
        <v>348</v>
      </c>
      <c r="C46" s="366" t="s">
        <v>317</v>
      </c>
      <c r="D46" s="367"/>
      <c r="E46" s="381">
        <v>11824</v>
      </c>
      <c r="F46" s="381">
        <v>8580</v>
      </c>
      <c r="G46" s="381">
        <v>8775</v>
      </c>
      <c r="H46" s="369">
        <f t="shared" si="2"/>
        <v>29179</v>
      </c>
      <c r="I46" s="370">
        <v>5.8534000000000006</v>
      </c>
      <c r="J46" s="382">
        <f t="shared" si="3"/>
        <v>170796.35860000001</v>
      </c>
      <c r="K46" s="274"/>
      <c r="L46" s="372">
        <v>0.14187142857142857</v>
      </c>
      <c r="M46" s="383">
        <v>3622.623901538575</v>
      </c>
      <c r="N46" s="374">
        <v>6357.7049472001991</v>
      </c>
      <c r="O46" s="375">
        <v>0.24898435714285713</v>
      </c>
      <c r="P46" s="305"/>
      <c r="Q46" s="274"/>
      <c r="R46" s="376">
        <v>4.6511627906976744E-2</v>
      </c>
      <c r="S46" s="377">
        <v>1187.6537556006222</v>
      </c>
      <c r="T46" s="378">
        <v>3.8249999999999997</v>
      </c>
      <c r="U46" s="384">
        <v>4542.7756151723797</v>
      </c>
      <c r="V46" s="399">
        <v>0.17790697674418604</v>
      </c>
      <c r="W46" s="274"/>
      <c r="X46" s="379">
        <v>6.2802913338870434</v>
      </c>
      <c r="Y46" s="364">
        <f t="shared" si="4"/>
        <v>183252.62083149003</v>
      </c>
      <c r="AA46" s="269"/>
    </row>
    <row r="47" spans="1:27" ht="14.5" x14ac:dyDescent="0.35">
      <c r="A47" s="274">
        <v>5200</v>
      </c>
      <c r="B47" s="365" t="s">
        <v>349</v>
      </c>
      <c r="C47" s="366" t="s">
        <v>317</v>
      </c>
      <c r="D47" s="367"/>
      <c r="E47" s="368">
        <v>7236</v>
      </c>
      <c r="F47" s="368">
        <v>12090</v>
      </c>
      <c r="G47" s="368">
        <v>8970</v>
      </c>
      <c r="H47" s="369">
        <f t="shared" si="2"/>
        <v>28296</v>
      </c>
      <c r="I47" s="370">
        <v>5.8534000000000006</v>
      </c>
      <c r="J47" s="371">
        <f t="shared" si="3"/>
        <v>165627.80640000003</v>
      </c>
      <c r="K47" s="274"/>
      <c r="L47" s="372">
        <v>0.14865714285714282</v>
      </c>
      <c r="M47" s="373">
        <v>3681.024692027675</v>
      </c>
      <c r="N47" s="374">
        <v>6460.19833450857</v>
      </c>
      <c r="O47" s="375">
        <v>0.26089328571428566</v>
      </c>
      <c r="P47" s="305"/>
      <c r="Q47" s="305"/>
      <c r="R47" s="376">
        <v>0</v>
      </c>
      <c r="S47" s="377">
        <v>0</v>
      </c>
      <c r="T47" s="378">
        <v>3.8249999999999997</v>
      </c>
      <c r="U47" s="374">
        <v>0</v>
      </c>
      <c r="V47" s="399">
        <v>0</v>
      </c>
      <c r="W47" s="274"/>
      <c r="X47" s="379">
        <v>6.114293285714286</v>
      </c>
      <c r="Y47" s="364">
        <f t="shared" si="4"/>
        <v>173010.04281257142</v>
      </c>
      <c r="AA47" s="269"/>
    </row>
    <row r="48" spans="1:27" ht="14.5" x14ac:dyDescent="0.35">
      <c r="A48" s="274">
        <v>2040</v>
      </c>
      <c r="B48" s="365" t="s">
        <v>139</v>
      </c>
      <c r="C48" s="366" t="s">
        <v>317</v>
      </c>
      <c r="D48" s="367"/>
      <c r="E48" s="381">
        <v>10080</v>
      </c>
      <c r="F48" s="381">
        <v>8775</v>
      </c>
      <c r="G48" s="381">
        <v>8970</v>
      </c>
      <c r="H48" s="369">
        <f t="shared" si="2"/>
        <v>27825</v>
      </c>
      <c r="I48" s="370">
        <v>5.8534000000000006</v>
      </c>
      <c r="J48" s="382">
        <f t="shared" si="3"/>
        <v>162870.85500000001</v>
      </c>
      <c r="K48" s="274"/>
      <c r="L48" s="372">
        <v>0.13451666666666665</v>
      </c>
      <c r="M48" s="383">
        <v>3275.4364091160091</v>
      </c>
      <c r="N48" s="374">
        <v>5748.3908979985963</v>
      </c>
      <c r="O48" s="375">
        <v>0.23607675</v>
      </c>
      <c r="P48" s="305"/>
      <c r="Q48" s="274"/>
      <c r="R48" s="376">
        <v>0.11239696571496835</v>
      </c>
      <c r="S48" s="377">
        <v>2736.8289959878912</v>
      </c>
      <c r="T48" s="378">
        <v>3.8249999999999997</v>
      </c>
      <c r="U48" s="384">
        <v>10468.370909653682</v>
      </c>
      <c r="V48" s="399">
        <v>0.42991839385975389</v>
      </c>
      <c r="W48" s="274"/>
      <c r="X48" s="379">
        <v>6.5193951438597546</v>
      </c>
      <c r="Y48" s="364">
        <f t="shared" si="4"/>
        <v>181402.16987789769</v>
      </c>
      <c r="AA48" s="269"/>
    </row>
    <row r="49" spans="1:27" ht="14.5" x14ac:dyDescent="0.35">
      <c r="A49" s="274">
        <v>2064</v>
      </c>
      <c r="B49" s="365" t="s">
        <v>350</v>
      </c>
      <c r="C49" s="366" t="s">
        <v>317</v>
      </c>
      <c r="D49" s="367"/>
      <c r="E49" s="368">
        <v>7560</v>
      </c>
      <c r="F49" s="368">
        <v>9750</v>
      </c>
      <c r="G49" s="368">
        <v>10920</v>
      </c>
      <c r="H49" s="369">
        <f t="shared" si="2"/>
        <v>28230</v>
      </c>
      <c r="I49" s="370">
        <v>5.8534000000000006</v>
      </c>
      <c r="J49" s="371">
        <f t="shared" si="3"/>
        <v>165241.48200000002</v>
      </c>
      <c r="K49" s="274"/>
      <c r="L49" s="372">
        <v>0.19794791666666672</v>
      </c>
      <c r="M49" s="373">
        <v>4890.1222435561021</v>
      </c>
      <c r="N49" s="374">
        <v>8582.16453744096</v>
      </c>
      <c r="O49" s="375">
        <v>0.34739859375000015</v>
      </c>
      <c r="P49" s="305"/>
      <c r="Q49" s="305"/>
      <c r="R49" s="376">
        <v>0.22167511700468018</v>
      </c>
      <c r="S49" s="377">
        <v>5476.2810276650434</v>
      </c>
      <c r="T49" s="378">
        <v>3.8249999999999997</v>
      </c>
      <c r="U49" s="374">
        <v>20946.774930818789</v>
      </c>
      <c r="V49" s="399">
        <v>0.84790732254290158</v>
      </c>
      <c r="W49" s="274"/>
      <c r="X49" s="379">
        <v>7.048705916292902</v>
      </c>
      <c r="Y49" s="364">
        <f t="shared" si="4"/>
        <v>198984.96801694861</v>
      </c>
      <c r="AA49" s="269"/>
    </row>
    <row r="50" spans="1:27" ht="14.5" x14ac:dyDescent="0.35">
      <c r="A50" s="274">
        <v>2045</v>
      </c>
      <c r="B50" s="365" t="s">
        <v>143</v>
      </c>
      <c r="C50" s="366" t="s">
        <v>317</v>
      </c>
      <c r="D50" s="367"/>
      <c r="E50" s="368">
        <v>6480</v>
      </c>
      <c r="F50" s="368">
        <v>7800</v>
      </c>
      <c r="G50" s="368">
        <v>4485</v>
      </c>
      <c r="H50" s="369">
        <f t="shared" si="2"/>
        <v>18765</v>
      </c>
      <c r="I50" s="370">
        <v>5.8534000000000006</v>
      </c>
      <c r="J50" s="371">
        <f t="shared" si="3"/>
        <v>109839.05100000001</v>
      </c>
      <c r="K50" s="274"/>
      <c r="L50" s="372">
        <v>0.158</v>
      </c>
      <c r="M50" s="373">
        <v>2594.5590422188479</v>
      </c>
      <c r="N50" s="374">
        <v>4553.4511190940784</v>
      </c>
      <c r="O50" s="375">
        <v>0.27729000000000004</v>
      </c>
      <c r="P50" s="305"/>
      <c r="Q50" s="305"/>
      <c r="R50" s="376">
        <v>0</v>
      </c>
      <c r="S50" s="377">
        <v>0</v>
      </c>
      <c r="T50" s="378">
        <v>3.8249999999999997</v>
      </c>
      <c r="U50" s="374">
        <v>0</v>
      </c>
      <c r="V50" s="399">
        <v>0</v>
      </c>
      <c r="W50" s="274"/>
      <c r="X50" s="379">
        <v>6.1306900000000004</v>
      </c>
      <c r="Y50" s="364">
        <f t="shared" si="4"/>
        <v>115042.39785000001</v>
      </c>
      <c r="AA50" s="269"/>
    </row>
    <row r="51" spans="1:27" ht="14.5" x14ac:dyDescent="0.35">
      <c r="A51" s="274">
        <v>2080</v>
      </c>
      <c r="B51" s="365" t="s">
        <v>351</v>
      </c>
      <c r="C51" s="366" t="s">
        <v>317</v>
      </c>
      <c r="D51" s="367"/>
      <c r="E51" s="381">
        <v>5550</v>
      </c>
      <c r="F51" s="381">
        <v>5265</v>
      </c>
      <c r="G51" s="381">
        <v>5070</v>
      </c>
      <c r="H51" s="369">
        <f t="shared" si="2"/>
        <v>15885</v>
      </c>
      <c r="I51" s="370">
        <v>5.8534000000000006</v>
      </c>
      <c r="J51" s="382">
        <f t="shared" si="3"/>
        <v>92981.259000000005</v>
      </c>
      <c r="K51" s="274"/>
      <c r="L51" s="372">
        <v>0.14908749999999998</v>
      </c>
      <c r="M51" s="383">
        <v>2072.46093837843</v>
      </c>
      <c r="N51" s="374">
        <v>3637.1689468541449</v>
      </c>
      <c r="O51" s="375">
        <v>0.26164856249999996</v>
      </c>
      <c r="P51" s="305"/>
      <c r="Q51" s="274"/>
      <c r="R51" s="376">
        <v>0.17462235649546828</v>
      </c>
      <c r="S51" s="377">
        <v>2427.4202250654885</v>
      </c>
      <c r="T51" s="378">
        <v>3.8249999999999997</v>
      </c>
      <c r="U51" s="384">
        <v>9284.8823608754919</v>
      </c>
      <c r="V51" s="399">
        <v>0.66793051359516609</v>
      </c>
      <c r="W51" s="274"/>
      <c r="X51" s="379">
        <v>6.7829790760951658</v>
      </c>
      <c r="Y51" s="364">
        <f t="shared" si="4"/>
        <v>107747.62262377171</v>
      </c>
      <c r="AA51" s="269"/>
    </row>
    <row r="52" spans="1:27" ht="14.5" x14ac:dyDescent="0.35">
      <c r="A52" s="274">
        <v>2048</v>
      </c>
      <c r="B52" s="365" t="s">
        <v>352</v>
      </c>
      <c r="C52" s="366" t="s">
        <v>317</v>
      </c>
      <c r="D52" s="367"/>
      <c r="E52" s="381">
        <v>11190</v>
      </c>
      <c r="F52" s="381">
        <v>9750</v>
      </c>
      <c r="G52" s="381">
        <v>5655</v>
      </c>
      <c r="H52" s="369">
        <f t="shared" si="2"/>
        <v>26595</v>
      </c>
      <c r="I52" s="370">
        <v>5.8534000000000006</v>
      </c>
      <c r="J52" s="382">
        <f t="shared" si="3"/>
        <v>155671.17300000001</v>
      </c>
      <c r="K52" s="274"/>
      <c r="L52" s="372">
        <v>0.16525877192982458</v>
      </c>
      <c r="M52" s="383">
        <v>3846.1163500706766</v>
      </c>
      <c r="N52" s="374">
        <v>6749.9341943740383</v>
      </c>
      <c r="O52" s="375">
        <v>0.29002914473684216</v>
      </c>
      <c r="P52" s="305"/>
      <c r="Q52" s="274"/>
      <c r="R52" s="376">
        <v>0</v>
      </c>
      <c r="S52" s="377">
        <v>0</v>
      </c>
      <c r="T52" s="378">
        <v>3.8249999999999997</v>
      </c>
      <c r="U52" s="384">
        <v>0</v>
      </c>
      <c r="V52" s="399">
        <v>0</v>
      </c>
      <c r="W52" s="274"/>
      <c r="X52" s="379">
        <v>6.1434291447368423</v>
      </c>
      <c r="Y52" s="364">
        <f t="shared" si="4"/>
        <v>163384.49810427631</v>
      </c>
      <c r="AA52" s="269"/>
    </row>
    <row r="53" spans="1:27" ht="14.5" x14ac:dyDescent="0.35">
      <c r="A53" s="274">
        <v>3405</v>
      </c>
      <c r="B53" s="365" t="s">
        <v>353</v>
      </c>
      <c r="C53" s="366" t="s">
        <v>317</v>
      </c>
      <c r="D53" s="367"/>
      <c r="E53" s="368">
        <v>11160</v>
      </c>
      <c r="F53" s="368">
        <v>9945</v>
      </c>
      <c r="G53" s="368">
        <v>7605</v>
      </c>
      <c r="H53" s="369">
        <f t="shared" si="2"/>
        <v>28710</v>
      </c>
      <c r="I53" s="370">
        <v>5.8534000000000006</v>
      </c>
      <c r="J53" s="371">
        <f t="shared" si="3"/>
        <v>168051.11400000003</v>
      </c>
      <c r="K53" s="274"/>
      <c r="L53" s="372">
        <v>0.14650000000000002</v>
      </c>
      <c r="M53" s="373">
        <v>3680.6855781056529</v>
      </c>
      <c r="N53" s="374">
        <v>6459.6031895754213</v>
      </c>
      <c r="O53" s="375">
        <v>0.25710750000000004</v>
      </c>
      <c r="P53" s="305"/>
      <c r="Q53" s="305"/>
      <c r="R53" s="376">
        <v>5.8823529411764705E-2</v>
      </c>
      <c r="S53" s="377">
        <v>1477.8902140556725</v>
      </c>
      <c r="T53" s="378">
        <v>3.8249999999999997</v>
      </c>
      <c r="U53" s="374">
        <v>5652.9300687629466</v>
      </c>
      <c r="V53" s="399">
        <v>0.22499999999999995</v>
      </c>
      <c r="W53" s="274"/>
      <c r="X53" s="379">
        <v>6.3355075000000003</v>
      </c>
      <c r="Y53" s="364">
        <f t="shared" si="4"/>
        <v>181892.42032500001</v>
      </c>
      <c r="AA53" s="269"/>
    </row>
    <row r="54" spans="1:27" ht="14.5" x14ac:dyDescent="0.35">
      <c r="A54" s="274">
        <v>5208</v>
      </c>
      <c r="B54" s="365" t="s">
        <v>354</v>
      </c>
      <c r="C54" s="366" t="s">
        <v>317</v>
      </c>
      <c r="D54" s="367"/>
      <c r="E54" s="381">
        <v>3960</v>
      </c>
      <c r="F54" s="381">
        <v>5070</v>
      </c>
      <c r="G54" s="381">
        <v>4485</v>
      </c>
      <c r="H54" s="369">
        <f t="shared" si="2"/>
        <v>13515</v>
      </c>
      <c r="I54" s="370">
        <v>5.8534000000000006</v>
      </c>
      <c r="J54" s="382">
        <f t="shared" si="3"/>
        <v>79108.701000000001</v>
      </c>
      <c r="K54" s="274"/>
      <c r="L54" s="372">
        <v>0.14862500000000001</v>
      </c>
      <c r="M54" s="383">
        <v>1757.78526658394</v>
      </c>
      <c r="N54" s="374">
        <v>3084.9131428548149</v>
      </c>
      <c r="O54" s="375">
        <v>0.26083687500000002</v>
      </c>
      <c r="P54" s="305"/>
      <c r="Q54" s="274"/>
      <c r="R54" s="376">
        <v>0.13354700854700854</v>
      </c>
      <c r="S54" s="377">
        <v>1579.4581262929596</v>
      </c>
      <c r="T54" s="378">
        <v>3.8249999999999997</v>
      </c>
      <c r="U54" s="384">
        <v>6041.4273330705701</v>
      </c>
      <c r="V54" s="399">
        <v>0.5108173076923076</v>
      </c>
      <c r="W54" s="274"/>
      <c r="X54" s="379">
        <v>6.6250541826923079</v>
      </c>
      <c r="Y54" s="364">
        <f t="shared" si="4"/>
        <v>89537.607279086544</v>
      </c>
      <c r="AA54" s="269"/>
    </row>
    <row r="55" spans="1:27" ht="14.5" x14ac:dyDescent="0.35">
      <c r="A55" s="274">
        <v>3402</v>
      </c>
      <c r="B55" s="365" t="s">
        <v>355</v>
      </c>
      <c r="C55" s="366" t="s">
        <v>317</v>
      </c>
      <c r="D55" s="367"/>
      <c r="E55" s="381">
        <v>8280</v>
      </c>
      <c r="F55" s="381">
        <v>6435</v>
      </c>
      <c r="G55" s="381">
        <v>5070</v>
      </c>
      <c r="H55" s="369">
        <f t="shared" si="2"/>
        <v>19785</v>
      </c>
      <c r="I55" s="370">
        <v>5.8534000000000006</v>
      </c>
      <c r="J55" s="382">
        <f t="shared" si="3"/>
        <v>115809.51900000001</v>
      </c>
      <c r="K55" s="274"/>
      <c r="L55" s="372">
        <v>0.14239285714285715</v>
      </c>
      <c r="M55" s="383">
        <v>2465.370308247022</v>
      </c>
      <c r="N55" s="374">
        <v>4326.7248909735235</v>
      </c>
      <c r="O55" s="375">
        <v>0.24989946428571433</v>
      </c>
      <c r="P55" s="305"/>
      <c r="Q55" s="274"/>
      <c r="R55" s="376">
        <v>8.5714285714285715E-2</v>
      </c>
      <c r="S55" s="377">
        <v>1484.0453322781168</v>
      </c>
      <c r="T55" s="378">
        <v>3.8249999999999997</v>
      </c>
      <c r="U55" s="384">
        <v>5676.4733959637961</v>
      </c>
      <c r="V55" s="399">
        <v>0.32785714285714279</v>
      </c>
      <c r="W55" s="274"/>
      <c r="X55" s="379">
        <v>6.4311566071428574</v>
      </c>
      <c r="Y55" s="364">
        <f t="shared" si="4"/>
        <v>127240.43347232143</v>
      </c>
      <c r="AA55" s="269"/>
    </row>
    <row r="56" spans="1:27" ht="14.5" x14ac:dyDescent="0.35">
      <c r="A56" s="274">
        <v>3403</v>
      </c>
      <c r="B56" s="365" t="s">
        <v>356</v>
      </c>
      <c r="C56" s="366" t="s">
        <v>317</v>
      </c>
      <c r="D56" s="367"/>
      <c r="E56" s="381">
        <v>5220</v>
      </c>
      <c r="F56" s="381">
        <v>4875</v>
      </c>
      <c r="G56" s="381">
        <v>4485</v>
      </c>
      <c r="H56" s="369">
        <f t="shared" si="2"/>
        <v>14580</v>
      </c>
      <c r="I56" s="370">
        <v>5.8534000000000006</v>
      </c>
      <c r="J56" s="382">
        <f t="shared" si="3"/>
        <v>85342.572000000015</v>
      </c>
      <c r="K56" s="274"/>
      <c r="L56" s="372">
        <v>0.2111547619047619</v>
      </c>
      <c r="M56" s="383">
        <v>2694.1160939448741</v>
      </c>
      <c r="N56" s="374">
        <v>4728.1737448732547</v>
      </c>
      <c r="O56" s="375">
        <v>0.37057660714285717</v>
      </c>
      <c r="P56" s="305"/>
      <c r="Q56" s="274"/>
      <c r="R56" s="376">
        <v>0.16051364365971107</v>
      </c>
      <c r="S56" s="377">
        <v>2047.9878681419777</v>
      </c>
      <c r="T56" s="378">
        <v>3.8249999999999997</v>
      </c>
      <c r="U56" s="384">
        <v>7833.553595643064</v>
      </c>
      <c r="V56" s="399">
        <v>0.61396468699839479</v>
      </c>
      <c r="W56" s="274"/>
      <c r="X56" s="379">
        <v>6.8379412941412534</v>
      </c>
      <c r="Y56" s="364">
        <f t="shared" si="4"/>
        <v>99697.184068579474</v>
      </c>
      <c r="AA56" s="269"/>
    </row>
    <row r="57" spans="1:27" ht="14.5" x14ac:dyDescent="0.35">
      <c r="A57" s="274">
        <v>2035</v>
      </c>
      <c r="B57" s="365" t="s">
        <v>357</v>
      </c>
      <c r="C57" s="366" t="s">
        <v>317</v>
      </c>
      <c r="D57" s="367"/>
      <c r="E57" s="381">
        <v>3420</v>
      </c>
      <c r="F57" s="381">
        <v>2925</v>
      </c>
      <c r="G57" s="381">
        <v>1365</v>
      </c>
      <c r="H57" s="369">
        <f t="shared" si="2"/>
        <v>7710</v>
      </c>
      <c r="I57" s="370">
        <v>5.8534000000000006</v>
      </c>
      <c r="J57" s="382">
        <f t="shared" si="3"/>
        <v>45129.714000000007</v>
      </c>
      <c r="K57" s="274"/>
      <c r="L57" s="372">
        <v>0.1404</v>
      </c>
      <c r="M57" s="383">
        <v>947.28222493978717</v>
      </c>
      <c r="N57" s="374">
        <v>1662.4803047693265</v>
      </c>
      <c r="O57" s="375">
        <v>0.24640200000000001</v>
      </c>
      <c r="P57" s="305"/>
      <c r="Q57" s="274"/>
      <c r="R57" s="376">
        <v>0.18115942028985507</v>
      </c>
      <c r="S57" s="377">
        <v>1222.287027927179</v>
      </c>
      <c r="T57" s="378">
        <v>3.8249999999999997</v>
      </c>
      <c r="U57" s="384">
        <v>4675.2478818214595</v>
      </c>
      <c r="V57" s="399">
        <v>0.69293478260869557</v>
      </c>
      <c r="W57" s="274"/>
      <c r="X57" s="379">
        <v>6.7927367826086966</v>
      </c>
      <c r="Y57" s="364">
        <f t="shared" si="4"/>
        <v>52372.00059391305</v>
      </c>
      <c r="AA57" s="269"/>
    </row>
    <row r="58" spans="1:27" ht="14.5" x14ac:dyDescent="0.35">
      <c r="A58" s="274">
        <v>3404</v>
      </c>
      <c r="B58" s="365" t="s">
        <v>358</v>
      </c>
      <c r="C58" s="366" t="s">
        <v>317</v>
      </c>
      <c r="D58" s="367"/>
      <c r="E58" s="381">
        <v>7740</v>
      </c>
      <c r="F58" s="381">
        <v>6045</v>
      </c>
      <c r="G58" s="381">
        <v>5655</v>
      </c>
      <c r="H58" s="369">
        <f t="shared" si="2"/>
        <v>19440</v>
      </c>
      <c r="I58" s="370">
        <v>5.8534000000000006</v>
      </c>
      <c r="J58" s="382">
        <f t="shared" si="3"/>
        <v>113790.09600000001</v>
      </c>
      <c r="K58" s="274"/>
      <c r="L58" s="372">
        <v>0.15167379679144383</v>
      </c>
      <c r="M58" s="383">
        <v>2580.2674353127341</v>
      </c>
      <c r="N58" s="374">
        <v>4528.3693489738489</v>
      </c>
      <c r="O58" s="375">
        <v>0.26618751336898394</v>
      </c>
      <c r="P58" s="305"/>
      <c r="Q58" s="274"/>
      <c r="R58" s="376">
        <v>7.1770244821092274E-2</v>
      </c>
      <c r="S58" s="377">
        <v>1220.9519999748136</v>
      </c>
      <c r="T58" s="378">
        <v>3.8249999999999997</v>
      </c>
      <c r="U58" s="384">
        <v>4670.1413999036613</v>
      </c>
      <c r="V58" s="399">
        <v>0.27452118644067791</v>
      </c>
      <c r="W58" s="274"/>
      <c r="X58" s="379">
        <v>6.3941086998096619</v>
      </c>
      <c r="Y58" s="364">
        <f t="shared" si="4"/>
        <v>124301.47312429982</v>
      </c>
      <c r="AA58" s="269"/>
    </row>
    <row r="59" spans="1:27" ht="14.5" x14ac:dyDescent="0.35">
      <c r="A59" s="274">
        <v>3306</v>
      </c>
      <c r="B59" s="365" t="s">
        <v>359</v>
      </c>
      <c r="C59" s="366" t="s">
        <v>317</v>
      </c>
      <c r="D59" s="367"/>
      <c r="E59" s="368">
        <v>6300</v>
      </c>
      <c r="F59" s="368">
        <v>7215</v>
      </c>
      <c r="G59" s="368">
        <v>6045</v>
      </c>
      <c r="H59" s="369">
        <f t="shared" si="2"/>
        <v>19560</v>
      </c>
      <c r="I59" s="370">
        <v>5.8534000000000006</v>
      </c>
      <c r="J59" s="371">
        <f t="shared" si="3"/>
        <v>114492.50400000002</v>
      </c>
      <c r="K59" s="274"/>
      <c r="L59" s="372">
        <v>0.18129166666666666</v>
      </c>
      <c r="M59" s="373">
        <v>3103.1630425771709</v>
      </c>
      <c r="N59" s="374">
        <v>5446.0511397229357</v>
      </c>
      <c r="O59" s="375">
        <v>0.31816687500000002</v>
      </c>
      <c r="P59" s="305"/>
      <c r="Q59" s="305"/>
      <c r="R59" s="376">
        <v>8.8235294117647065E-2</v>
      </c>
      <c r="S59" s="377">
        <v>1510.3204068405935</v>
      </c>
      <c r="T59" s="378">
        <v>3.8249999999999997</v>
      </c>
      <c r="U59" s="374">
        <v>5776.9755561652701</v>
      </c>
      <c r="V59" s="399">
        <v>0.33750000000000002</v>
      </c>
      <c r="W59" s="274"/>
      <c r="X59" s="379">
        <v>6.5090668750000011</v>
      </c>
      <c r="Y59" s="364">
        <f t="shared" si="4"/>
        <v>127317.34807500002</v>
      </c>
      <c r="AA59" s="269"/>
    </row>
    <row r="60" spans="1:27" ht="14.5" x14ac:dyDescent="0.35">
      <c r="A60" s="274">
        <v>3400</v>
      </c>
      <c r="B60" s="365" t="s">
        <v>360</v>
      </c>
      <c r="C60" s="366" t="s">
        <v>317</v>
      </c>
      <c r="D60" s="367"/>
      <c r="E60" s="381">
        <v>7698</v>
      </c>
      <c r="F60" s="381">
        <v>5070</v>
      </c>
      <c r="G60" s="381">
        <v>4680</v>
      </c>
      <c r="H60" s="369">
        <f t="shared" si="2"/>
        <v>17448</v>
      </c>
      <c r="I60" s="370">
        <v>5.8534000000000006</v>
      </c>
      <c r="J60" s="382">
        <f t="shared" si="3"/>
        <v>102130.12320000002</v>
      </c>
      <c r="K60" s="274"/>
      <c r="L60" s="372">
        <v>0.14597802197802195</v>
      </c>
      <c r="M60" s="383">
        <v>2228.9022852627713</v>
      </c>
      <c r="N60" s="374">
        <v>3911.7235106361641</v>
      </c>
      <c r="O60" s="375">
        <v>0.25619142857142857</v>
      </c>
      <c r="P60" s="305"/>
      <c r="Q60" s="274"/>
      <c r="R60" s="376">
        <v>3.0642261807484882E-2</v>
      </c>
      <c r="S60" s="377">
        <v>467.86911099950396</v>
      </c>
      <c r="T60" s="378">
        <v>3.8249999999999997</v>
      </c>
      <c r="U60" s="384">
        <v>1789.5993495731025</v>
      </c>
      <c r="V60" s="399">
        <v>0.11720665141362965</v>
      </c>
      <c r="W60" s="274"/>
      <c r="X60" s="379">
        <v>6.22679807998506</v>
      </c>
      <c r="Y60" s="364">
        <f t="shared" si="4"/>
        <v>108645.17289957932</v>
      </c>
      <c r="AA60" s="269"/>
    </row>
    <row r="61" spans="1:27" ht="14.5" x14ac:dyDescent="0.35">
      <c r="A61" s="274">
        <v>2004</v>
      </c>
      <c r="B61" s="365" t="s">
        <v>287</v>
      </c>
      <c r="C61" s="366" t="s">
        <v>317</v>
      </c>
      <c r="D61" s="367"/>
      <c r="E61" s="381">
        <v>15261</v>
      </c>
      <c r="F61" s="381">
        <v>7605</v>
      </c>
      <c r="G61" s="381">
        <v>11700</v>
      </c>
      <c r="H61" s="369">
        <f t="shared" si="2"/>
        <v>34566</v>
      </c>
      <c r="I61" s="370">
        <v>5.8534000000000006</v>
      </c>
      <c r="J61" s="382">
        <f t="shared" si="3"/>
        <v>202328.62440000003</v>
      </c>
      <c r="K61" s="274"/>
      <c r="L61" s="372">
        <v>0.11451406926406926</v>
      </c>
      <c r="M61" s="383">
        <v>3463.9042252925365</v>
      </c>
      <c r="N61" s="374">
        <v>6079.1519153884019</v>
      </c>
      <c r="O61" s="375">
        <v>0.20097219155844157</v>
      </c>
      <c r="P61" s="305"/>
      <c r="Q61" s="274"/>
      <c r="R61" s="376">
        <v>0</v>
      </c>
      <c r="S61" s="377">
        <v>0</v>
      </c>
      <c r="T61" s="378">
        <v>3.8249999999999997</v>
      </c>
      <c r="U61" s="384">
        <v>0</v>
      </c>
      <c r="V61" s="399">
        <v>0</v>
      </c>
      <c r="W61" s="274"/>
      <c r="X61" s="379">
        <v>6.0543721915584419</v>
      </c>
      <c r="Y61" s="364">
        <f t="shared" si="4"/>
        <v>209275.42917340909</v>
      </c>
      <c r="AA61" s="269"/>
    </row>
    <row r="62" spans="1:27" ht="14.5" x14ac:dyDescent="0.35">
      <c r="A62" s="274">
        <v>2065</v>
      </c>
      <c r="B62" s="365" t="s">
        <v>361</v>
      </c>
      <c r="C62" s="366" t="s">
        <v>317</v>
      </c>
      <c r="D62" s="367"/>
      <c r="E62" s="368">
        <v>5940</v>
      </c>
      <c r="F62" s="368">
        <v>7605</v>
      </c>
      <c r="G62" s="368">
        <v>5070</v>
      </c>
      <c r="H62" s="369">
        <f t="shared" si="2"/>
        <v>18615</v>
      </c>
      <c r="I62" s="370">
        <v>5.8534000000000006</v>
      </c>
      <c r="J62" s="371">
        <f t="shared" si="3"/>
        <v>108961.04100000001</v>
      </c>
      <c r="K62" s="274"/>
      <c r="L62" s="372">
        <v>0.13292307692307692</v>
      </c>
      <c r="M62" s="373">
        <v>2165.3162178993412</v>
      </c>
      <c r="N62" s="374">
        <v>3800.1299624133439</v>
      </c>
      <c r="O62" s="375">
        <v>0.23327999999999999</v>
      </c>
      <c r="P62" s="305"/>
      <c r="Q62" s="305"/>
      <c r="R62" s="376">
        <v>3.8461538461538464E-2</v>
      </c>
      <c r="S62" s="377">
        <v>626.53825749402245</v>
      </c>
      <c r="T62" s="378">
        <v>3.8249999999999997</v>
      </c>
      <c r="U62" s="374">
        <v>2396.5088349146358</v>
      </c>
      <c r="V62" s="399">
        <v>0.14711538461538465</v>
      </c>
      <c r="W62" s="274"/>
      <c r="X62" s="379">
        <v>6.2337953846153855</v>
      </c>
      <c r="Y62" s="364">
        <f t="shared" si="4"/>
        <v>116042.10108461539</v>
      </c>
      <c r="AA62" s="269"/>
    </row>
    <row r="63" spans="1:27" ht="14.5" x14ac:dyDescent="0.35">
      <c r="A63" s="274">
        <v>2051</v>
      </c>
      <c r="B63" s="365" t="s">
        <v>362</v>
      </c>
      <c r="C63" s="366" t="s">
        <v>317</v>
      </c>
      <c r="D63" s="367"/>
      <c r="E63" s="381">
        <v>10394</v>
      </c>
      <c r="F63" s="381">
        <v>10335</v>
      </c>
      <c r="G63" s="381">
        <v>8775</v>
      </c>
      <c r="H63" s="369">
        <f t="shared" si="2"/>
        <v>29504</v>
      </c>
      <c r="I63" s="370">
        <v>5.8534000000000006</v>
      </c>
      <c r="J63" s="382">
        <f t="shared" si="3"/>
        <v>172698.71360000002</v>
      </c>
      <c r="K63" s="274"/>
      <c r="L63" s="372">
        <v>0.22035714285714286</v>
      </c>
      <c r="M63" s="383">
        <v>5689.393003820277</v>
      </c>
      <c r="N63" s="374">
        <v>9984.8847217045877</v>
      </c>
      <c r="O63" s="375">
        <v>0.38672678571428576</v>
      </c>
      <c r="P63" s="305"/>
      <c r="Q63" s="274"/>
      <c r="R63" s="376">
        <v>8.9315657094948653E-2</v>
      </c>
      <c r="S63" s="377">
        <v>2306.0376805531814</v>
      </c>
      <c r="T63" s="378">
        <v>3.8249999999999997</v>
      </c>
      <c r="U63" s="384">
        <v>8820.5941281159176</v>
      </c>
      <c r="V63" s="399">
        <v>0.34163238838817855</v>
      </c>
      <c r="W63" s="274"/>
      <c r="X63" s="379">
        <v>6.5817591741024648</v>
      </c>
      <c r="Y63" s="364">
        <f t="shared" si="4"/>
        <v>194188.22267271913</v>
      </c>
      <c r="AA63" s="269"/>
    </row>
    <row r="64" spans="1:27" ht="14.5" x14ac:dyDescent="0.35">
      <c r="A64" s="274">
        <v>2069</v>
      </c>
      <c r="B64" s="365" t="s">
        <v>363</v>
      </c>
      <c r="C64" s="366" t="s">
        <v>317</v>
      </c>
      <c r="D64" s="367"/>
      <c r="E64" s="368">
        <v>10620</v>
      </c>
      <c r="F64" s="368">
        <v>10530</v>
      </c>
      <c r="G64" s="368">
        <v>10725</v>
      </c>
      <c r="H64" s="369">
        <f t="shared" si="2"/>
        <v>31875</v>
      </c>
      <c r="I64" s="370">
        <v>5.8534000000000006</v>
      </c>
      <c r="J64" s="371">
        <f t="shared" si="3"/>
        <v>186577.12500000003</v>
      </c>
      <c r="K64" s="274"/>
      <c r="L64" s="372">
        <v>0.17158000000000001</v>
      </c>
      <c r="M64" s="373">
        <v>4786.0227564065626</v>
      </c>
      <c r="N64" s="374">
        <v>8399.4699374935171</v>
      </c>
      <c r="O64" s="375">
        <v>0.30112290000000003</v>
      </c>
      <c r="P64" s="305"/>
      <c r="Q64" s="305"/>
      <c r="R64" s="376">
        <v>7.8431372549019607E-2</v>
      </c>
      <c r="S64" s="377">
        <v>2187.751100570048</v>
      </c>
      <c r="T64" s="378">
        <v>3.8249999999999997</v>
      </c>
      <c r="U64" s="374">
        <v>8368.1479596804329</v>
      </c>
      <c r="V64" s="399">
        <v>0.3</v>
      </c>
      <c r="W64" s="274"/>
      <c r="X64" s="379">
        <v>6.4545229000000015</v>
      </c>
      <c r="Y64" s="364">
        <f t="shared" si="4"/>
        <v>205737.91743750006</v>
      </c>
      <c r="AA64" s="269"/>
    </row>
    <row r="65" spans="1:27" ht="14.5" x14ac:dyDescent="0.35">
      <c r="A65" s="274">
        <v>2074</v>
      </c>
      <c r="B65" s="365" t="s">
        <v>364</v>
      </c>
      <c r="C65" s="366" t="s">
        <v>317</v>
      </c>
      <c r="D65" s="367"/>
      <c r="E65" s="381">
        <v>8100</v>
      </c>
      <c r="F65" s="381">
        <v>10335</v>
      </c>
      <c r="G65" s="381">
        <v>10140</v>
      </c>
      <c r="H65" s="369">
        <f t="shared" si="2"/>
        <v>28575</v>
      </c>
      <c r="I65" s="370">
        <v>5.8534000000000006</v>
      </c>
      <c r="J65" s="382">
        <f t="shared" si="3"/>
        <v>167260.90500000003</v>
      </c>
      <c r="K65" s="274"/>
      <c r="L65" s="372">
        <v>0.13059226190476192</v>
      </c>
      <c r="M65" s="383">
        <v>3265.5894586132958</v>
      </c>
      <c r="N65" s="374">
        <v>5731.1094998663348</v>
      </c>
      <c r="O65" s="375">
        <v>0.22918941964285719</v>
      </c>
      <c r="P65" s="305"/>
      <c r="Q65" s="274"/>
      <c r="R65" s="376">
        <v>3.2140892818345701E-2</v>
      </c>
      <c r="S65" s="377">
        <v>803.71500766679253</v>
      </c>
      <c r="T65" s="378">
        <v>3.8249999999999997</v>
      </c>
      <c r="U65" s="384">
        <v>3074.2099043254811</v>
      </c>
      <c r="V65" s="399">
        <v>0.12293891503017229</v>
      </c>
      <c r="W65" s="274"/>
      <c r="X65" s="379">
        <v>6.2055283346730308</v>
      </c>
      <c r="Y65" s="364">
        <f t="shared" si="4"/>
        <v>177322.97216328184</v>
      </c>
      <c r="AA65" s="269"/>
    </row>
    <row r="66" spans="1:27" ht="14.5" x14ac:dyDescent="0.35">
      <c r="A66" s="274">
        <v>2049</v>
      </c>
      <c r="B66" s="365" t="s">
        <v>365</v>
      </c>
      <c r="C66" s="366" t="s">
        <v>317</v>
      </c>
      <c r="D66" s="367"/>
      <c r="E66" s="381">
        <v>11520</v>
      </c>
      <c r="F66" s="381">
        <v>12480</v>
      </c>
      <c r="G66" s="381">
        <v>11505</v>
      </c>
      <c r="H66" s="369">
        <f t="shared" si="2"/>
        <v>35505</v>
      </c>
      <c r="I66" s="370">
        <v>5.8534000000000006</v>
      </c>
      <c r="J66" s="382">
        <f t="shared" si="3"/>
        <v>207824.96700000003</v>
      </c>
      <c r="K66" s="274"/>
      <c r="L66" s="372">
        <v>0.11449999999999999</v>
      </c>
      <c r="M66" s="383">
        <v>3557.5655094188719</v>
      </c>
      <c r="N66" s="374">
        <v>6243.5274690301203</v>
      </c>
      <c r="O66" s="375">
        <v>0.2009475</v>
      </c>
      <c r="P66" s="305"/>
      <c r="Q66" s="274"/>
      <c r="R66" s="376">
        <v>2.3917153847825612E-2</v>
      </c>
      <c r="S66" s="377">
        <v>743.11652063309396</v>
      </c>
      <c r="T66" s="378">
        <v>3.8249999999999997</v>
      </c>
      <c r="U66" s="384">
        <v>2842.4206914215843</v>
      </c>
      <c r="V66" s="399">
        <v>9.1483113467932961E-2</v>
      </c>
      <c r="W66" s="274"/>
      <c r="X66" s="379">
        <v>6.1458306134679335</v>
      </c>
      <c r="Y66" s="364">
        <f t="shared" si="4"/>
        <v>218207.71593117897</v>
      </c>
      <c r="AA66" s="269"/>
    </row>
    <row r="67" spans="1:27" ht="14.5" x14ac:dyDescent="0.35">
      <c r="A67" s="274">
        <v>2060</v>
      </c>
      <c r="B67" s="365" t="s">
        <v>366</v>
      </c>
      <c r="C67" s="366" t="s">
        <v>317</v>
      </c>
      <c r="D67" s="367"/>
      <c r="E67" s="368">
        <v>21780</v>
      </c>
      <c r="F67" s="368">
        <v>11505</v>
      </c>
      <c r="G67" s="368">
        <v>18915</v>
      </c>
      <c r="H67" s="369">
        <f t="shared" si="2"/>
        <v>52200</v>
      </c>
      <c r="I67" s="370">
        <v>5.8534000000000006</v>
      </c>
      <c r="J67" s="371">
        <f t="shared" si="3"/>
        <v>305547.48000000004</v>
      </c>
      <c r="K67" s="274"/>
      <c r="L67" s="372">
        <v>0.158</v>
      </c>
      <c r="M67" s="373">
        <v>7217.4783908246118</v>
      </c>
      <c r="N67" s="374">
        <v>12666.674575897194</v>
      </c>
      <c r="O67" s="375">
        <v>0.27728999999999998</v>
      </c>
      <c r="P67" s="305"/>
      <c r="Q67" s="305"/>
      <c r="R67" s="376">
        <v>0</v>
      </c>
      <c r="S67" s="377">
        <v>0</v>
      </c>
      <c r="T67" s="378">
        <v>3.8249999999999997</v>
      </c>
      <c r="U67" s="374">
        <v>0</v>
      </c>
      <c r="V67" s="399">
        <v>0</v>
      </c>
      <c r="W67" s="274"/>
      <c r="X67" s="379">
        <v>6.1306899999999995</v>
      </c>
      <c r="Y67" s="364">
        <f t="shared" si="4"/>
        <v>320022.01799999998</v>
      </c>
      <c r="AA67" s="269"/>
    </row>
    <row r="68" spans="1:27" ht="14.5" x14ac:dyDescent="0.35">
      <c r="A68" s="274">
        <v>2082</v>
      </c>
      <c r="B68" s="365" t="s">
        <v>367</v>
      </c>
      <c r="C68" s="366" t="s">
        <v>317</v>
      </c>
      <c r="D68" s="367"/>
      <c r="E68" s="381">
        <v>11972</v>
      </c>
      <c r="F68" s="381">
        <v>21645</v>
      </c>
      <c r="G68" s="381">
        <v>8385</v>
      </c>
      <c r="H68" s="369">
        <f t="shared" si="2"/>
        <v>42002</v>
      </c>
      <c r="I68" s="370">
        <v>5.8534000000000006</v>
      </c>
      <c r="J68" s="382">
        <f t="shared" si="3"/>
        <v>245854.50680000003</v>
      </c>
      <c r="K68" s="274"/>
      <c r="L68" s="372">
        <v>0.14949305555555553</v>
      </c>
      <c r="M68" s="383">
        <v>5494.7620694407879</v>
      </c>
      <c r="N68" s="374">
        <v>9643.3074318685831</v>
      </c>
      <c r="O68" s="375">
        <v>0.26236031249999997</v>
      </c>
      <c r="P68" s="305"/>
      <c r="Q68" s="274"/>
      <c r="R68" s="376">
        <v>7.6718328840970351E-2</v>
      </c>
      <c r="S68" s="377">
        <v>2819.8564928629107</v>
      </c>
      <c r="T68" s="378">
        <v>3.8249999999999997</v>
      </c>
      <c r="U68" s="384">
        <v>10785.951085200633</v>
      </c>
      <c r="V68" s="399">
        <v>0.29344760781671159</v>
      </c>
      <c r="W68" s="274"/>
      <c r="X68" s="379">
        <v>6.409207920316712</v>
      </c>
      <c r="Y68" s="364">
        <f t="shared" si="4"/>
        <v>269199.55106914253</v>
      </c>
      <c r="AA68" s="269"/>
    </row>
    <row r="69" spans="1:27" x14ac:dyDescent="0.3">
      <c r="Y69" s="269"/>
    </row>
    <row r="70" spans="1:27" x14ac:dyDescent="0.3">
      <c r="Y70" s="269"/>
    </row>
  </sheetData>
  <autoFilter ref="A10:AA68" xr:uid="{F03AE7CE-784C-4EAE-A088-28BC4AD8D561}"/>
  <mergeCells count="1">
    <mergeCell ref="T7:U7"/>
  </mergeCells>
  <conditionalFormatting sqref="X9 A1:A1048576 E9 I9 M9 Q9 U9">
    <cfRule type="duplicateValues" dxfId="4"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C16"/>
  <sheetViews>
    <sheetView workbookViewId="0">
      <selection activeCell="C11" sqref="C11"/>
    </sheetView>
  </sheetViews>
  <sheetFormatPr defaultRowHeight="12.5" x14ac:dyDescent="0.25"/>
  <sheetData>
    <row r="1" spans="2:3" x14ac:dyDescent="0.25">
      <c r="C1" t="s">
        <v>368</v>
      </c>
    </row>
    <row r="2" spans="2:3" x14ac:dyDescent="0.25">
      <c r="B2" s="40">
        <v>1</v>
      </c>
      <c r="C2" t="s">
        <v>369</v>
      </c>
    </row>
    <row r="3" spans="2:3" x14ac:dyDescent="0.25">
      <c r="B3" s="40">
        <v>2</v>
      </c>
      <c r="C3" t="s">
        <v>370</v>
      </c>
    </row>
    <row r="4" spans="2:3" x14ac:dyDescent="0.25">
      <c r="B4" s="40">
        <v>3</v>
      </c>
      <c r="C4" t="s">
        <v>371</v>
      </c>
    </row>
    <row r="5" spans="2:3" x14ac:dyDescent="0.25">
      <c r="B5" s="40">
        <v>4</v>
      </c>
      <c r="C5" t="s">
        <v>372</v>
      </c>
    </row>
    <row r="6" spans="2:3" x14ac:dyDescent="0.25">
      <c r="B6" s="40">
        <v>5</v>
      </c>
      <c r="C6" t="s">
        <v>373</v>
      </c>
    </row>
    <row r="7" spans="2:3" x14ac:dyDescent="0.25">
      <c r="B7" s="40">
        <v>6</v>
      </c>
      <c r="C7" t="s">
        <v>374</v>
      </c>
    </row>
    <row r="8" spans="2:3" x14ac:dyDescent="0.25">
      <c r="B8" s="40">
        <v>7</v>
      </c>
      <c r="C8" t="s">
        <v>375</v>
      </c>
    </row>
    <row r="9" spans="2:3" x14ac:dyDescent="0.25">
      <c r="B9" s="40">
        <v>8</v>
      </c>
      <c r="C9" t="s">
        <v>376</v>
      </c>
    </row>
    <row r="10" spans="2:3" x14ac:dyDescent="0.25">
      <c r="B10" s="40">
        <v>9</v>
      </c>
      <c r="C10" t="s">
        <v>377</v>
      </c>
    </row>
    <row r="11" spans="2:3" x14ac:dyDescent="0.25">
      <c r="B11" s="40">
        <v>10</v>
      </c>
    </row>
    <row r="12" spans="2:3" x14ac:dyDescent="0.25">
      <c r="B12" s="40">
        <v>11</v>
      </c>
    </row>
    <row r="13" spans="2:3" x14ac:dyDescent="0.25">
      <c r="B13" s="40">
        <v>12</v>
      </c>
    </row>
    <row r="14" spans="2:3" x14ac:dyDescent="0.25">
      <c r="B14" s="40">
        <v>13</v>
      </c>
    </row>
    <row r="15" spans="2:3" x14ac:dyDescent="0.25">
      <c r="B15" s="40">
        <v>14</v>
      </c>
    </row>
    <row r="16" spans="2:3" x14ac:dyDescent="0.25">
      <c r="B16" s="40">
        <v>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9ABE-2844-43B1-84C4-20F79C3E4C3D}">
  <sheetPr>
    <tabColor theme="3" tint="0.39997558519241921"/>
  </sheetPr>
  <dimension ref="A1:Y62"/>
  <sheetViews>
    <sheetView workbookViewId="0">
      <pane xSplit="3" ySplit="9" topLeftCell="D47" activePane="bottomRight" state="frozen"/>
      <selection pane="topRight"/>
      <selection pane="bottomLeft"/>
      <selection pane="bottomRight" activeCell="A56" sqref="A56"/>
    </sheetView>
  </sheetViews>
  <sheetFormatPr defaultRowHeight="12.5" x14ac:dyDescent="0.25"/>
  <cols>
    <col min="2" max="2" width="97.1796875" bestFit="1" customWidth="1"/>
    <col min="3" max="3" width="8.7265625" customWidth="1"/>
    <col min="4" max="4" width="9.453125" customWidth="1"/>
    <col min="5" max="5" width="13.54296875" customWidth="1"/>
    <col min="6" max="6" width="13" customWidth="1"/>
    <col min="7" max="7" width="12.7265625" customWidth="1"/>
    <col min="8" max="8" width="15.54296875" customWidth="1"/>
    <col min="9" max="9" width="11.453125" bestFit="1" customWidth="1"/>
    <col min="10" max="10" width="13.81640625" bestFit="1" customWidth="1"/>
    <col min="11" max="11" width="3" customWidth="1"/>
    <col min="12" max="13" width="11.453125" bestFit="1" customWidth="1"/>
    <col min="14" max="14" width="16.7265625" customWidth="1"/>
    <col min="15" max="15" width="11.453125" bestFit="1" customWidth="1"/>
    <col min="16" max="16" width="3.7265625" customWidth="1"/>
    <col min="17" max="20" width="11.453125" bestFit="1" customWidth="1"/>
    <col min="21" max="21" width="14.453125" bestFit="1" customWidth="1"/>
    <col min="22" max="22" width="3.1796875" customWidth="1"/>
    <col min="23" max="23" width="11.453125" bestFit="1" customWidth="1"/>
    <col min="24" max="24" width="22.7265625" bestFit="1" customWidth="1"/>
    <col min="25" max="25" width="10.81640625" bestFit="1" customWidth="1"/>
  </cols>
  <sheetData>
    <row r="1" spans="1:25" ht="21" x14ac:dyDescent="0.5">
      <c r="A1" s="263"/>
      <c r="B1" s="264" t="s">
        <v>294</v>
      </c>
      <c r="C1" s="265"/>
      <c r="D1" s="265"/>
      <c r="E1" s="266"/>
      <c r="F1" s="267"/>
      <c r="G1" s="268"/>
      <c r="H1" s="265"/>
      <c r="I1" s="269"/>
      <c r="J1" s="270"/>
      <c r="K1" s="265"/>
      <c r="L1" s="265"/>
      <c r="M1" s="271"/>
      <c r="N1" s="270"/>
      <c r="O1" s="265"/>
      <c r="P1" s="272"/>
      <c r="Q1" s="265"/>
      <c r="R1" s="265"/>
      <c r="S1" s="265"/>
      <c r="T1" s="265"/>
      <c r="U1" s="270"/>
      <c r="V1" s="265"/>
      <c r="W1" s="265"/>
      <c r="X1" s="265"/>
    </row>
    <row r="2" spans="1:25" ht="21" x14ac:dyDescent="0.5">
      <c r="A2" s="265"/>
      <c r="B2" s="264" t="s">
        <v>295</v>
      </c>
      <c r="C2" s="265"/>
      <c r="D2" s="265"/>
      <c r="E2" s="266"/>
      <c r="F2" s="266"/>
      <c r="G2" s="275"/>
      <c r="H2" s="265"/>
      <c r="I2" s="276"/>
      <c r="J2" s="270"/>
      <c r="K2" s="277"/>
      <c r="L2" s="277"/>
      <c r="M2" s="278"/>
      <c r="N2" s="270"/>
      <c r="O2" s="279"/>
      <c r="P2" s="272"/>
      <c r="Q2" s="277"/>
      <c r="R2" s="277"/>
      <c r="S2" s="277"/>
      <c r="T2" s="280"/>
      <c r="U2" s="270"/>
      <c r="V2" s="280"/>
      <c r="W2" s="277"/>
      <c r="X2" s="281"/>
    </row>
    <row r="3" spans="1:25" ht="14.5" x14ac:dyDescent="0.35">
      <c r="A3" s="265"/>
      <c r="B3" s="265"/>
      <c r="C3" s="265"/>
      <c r="D3" s="265"/>
      <c r="E3" s="266"/>
      <c r="F3" s="266"/>
      <c r="G3" s="283"/>
      <c r="H3" s="284"/>
      <c r="I3" s="265"/>
      <c r="J3" s="285"/>
      <c r="K3" s="277"/>
      <c r="L3" s="277"/>
      <c r="M3" s="278"/>
      <c r="N3" s="270"/>
      <c r="O3" s="277"/>
      <c r="P3" s="272"/>
      <c r="Q3" s="277"/>
      <c r="R3" s="277"/>
      <c r="S3" s="277"/>
      <c r="T3" s="280"/>
      <c r="U3" s="270"/>
      <c r="V3" s="280"/>
      <c r="W3" s="277"/>
      <c r="X3" s="281"/>
    </row>
    <row r="4" spans="1:25" ht="14.5" x14ac:dyDescent="0.35">
      <c r="A4" s="265"/>
      <c r="B4" s="286"/>
      <c r="C4" s="265"/>
      <c r="D4" s="265"/>
      <c r="E4" s="266"/>
      <c r="F4" s="266"/>
      <c r="G4" s="268"/>
      <c r="H4" s="287"/>
      <c r="I4" s="288"/>
      <c r="J4" s="270"/>
      <c r="K4" s="286"/>
      <c r="L4" s="286"/>
      <c r="M4" s="286"/>
      <c r="N4" s="286"/>
      <c r="O4" s="286"/>
      <c r="P4" s="286"/>
      <c r="Q4" s="286"/>
      <c r="R4" s="286"/>
      <c r="S4" s="286"/>
      <c r="T4" s="286"/>
      <c r="U4" s="270"/>
      <c r="V4" s="286"/>
      <c r="W4" s="265"/>
      <c r="X4" s="281"/>
    </row>
    <row r="5" spans="1:25" ht="14.5" x14ac:dyDescent="0.35">
      <c r="A5" s="265"/>
      <c r="B5" s="265"/>
      <c r="C5" s="265"/>
      <c r="D5" s="265"/>
      <c r="E5" s="267"/>
      <c r="F5" s="289"/>
      <c r="G5" s="268"/>
      <c r="H5" s="287"/>
      <c r="I5" s="273"/>
      <c r="J5" s="270"/>
      <c r="K5" s="265"/>
      <c r="L5" s="265"/>
      <c r="M5" s="265"/>
      <c r="N5" s="265"/>
      <c r="O5" s="265"/>
      <c r="P5" s="265"/>
      <c r="Q5" s="265"/>
      <c r="R5" s="265"/>
      <c r="S5" s="265"/>
      <c r="T5" s="265"/>
      <c r="U5" s="265"/>
      <c r="V5" s="265"/>
      <c r="W5" s="265"/>
      <c r="X5" s="265"/>
    </row>
    <row r="6" spans="1:25" ht="14" x14ac:dyDescent="0.3">
      <c r="A6" s="265"/>
      <c r="B6" s="265"/>
      <c r="C6" s="265"/>
      <c r="D6" s="265"/>
      <c r="E6" s="265"/>
      <c r="F6" s="265"/>
      <c r="G6" s="265"/>
      <c r="H6" s="265"/>
      <c r="I6" s="265"/>
      <c r="J6" s="291"/>
      <c r="K6" s="265"/>
      <c r="L6" s="266"/>
      <c r="M6" s="290"/>
      <c r="N6" s="292"/>
      <c r="O6" s="290"/>
      <c r="P6" s="293"/>
      <c r="Q6" s="265"/>
      <c r="R6" s="265"/>
      <c r="S6" s="294"/>
      <c r="T6" s="294"/>
      <c r="U6" s="292"/>
      <c r="V6" s="294"/>
      <c r="W6" s="265"/>
      <c r="X6" s="265"/>
    </row>
    <row r="7" spans="1:25" ht="14.5" x14ac:dyDescent="0.35">
      <c r="A7" s="274"/>
      <c r="B7" s="274"/>
      <c r="C7" s="274"/>
      <c r="D7" s="274"/>
      <c r="E7" s="295"/>
      <c r="F7" s="295"/>
      <c r="G7" s="296"/>
      <c r="H7" s="295"/>
      <c r="I7" s="297"/>
      <c r="J7" s="298"/>
      <c r="K7" s="274"/>
      <c r="L7" s="299"/>
      <c r="M7" s="297"/>
      <c r="N7" s="300"/>
      <c r="O7" s="274"/>
      <c r="P7" s="301"/>
      <c r="Q7" s="274"/>
      <c r="R7" s="302"/>
      <c r="S7" s="303"/>
      <c r="T7" s="297"/>
      <c r="U7" s="300"/>
      <c r="V7" s="304"/>
      <c r="W7" s="274"/>
      <c r="X7" s="400"/>
    </row>
    <row r="8" spans="1:25" ht="14.5" x14ac:dyDescent="0.35">
      <c r="A8" s="274"/>
      <c r="B8" s="274"/>
      <c r="C8" s="274"/>
      <c r="D8" s="274"/>
      <c r="E8" s="274"/>
      <c r="F8" s="274"/>
      <c r="G8" s="274"/>
      <c r="H8" s="274"/>
      <c r="I8" s="308"/>
      <c r="J8" s="287"/>
      <c r="K8" s="274"/>
      <c r="L8" s="309"/>
      <c r="M8" s="310"/>
      <c r="N8" s="287"/>
      <c r="O8" s="274"/>
      <c r="P8" s="301"/>
      <c r="Q8" s="274"/>
      <c r="R8" s="311"/>
      <c r="S8" s="301"/>
      <c r="T8" s="312"/>
      <c r="U8" s="287"/>
      <c r="V8" s="274"/>
      <c r="W8" s="274"/>
      <c r="X8" s="313"/>
    </row>
    <row r="9" spans="1:25" ht="58" x14ac:dyDescent="0.35">
      <c r="A9" s="314" t="s">
        <v>296</v>
      </c>
      <c r="B9" s="315" t="s">
        <v>297</v>
      </c>
      <c r="C9" s="316" t="s">
        <v>298</v>
      </c>
      <c r="D9" s="317"/>
      <c r="E9" s="318" t="s">
        <v>299</v>
      </c>
      <c r="F9" s="319" t="s">
        <v>300</v>
      </c>
      <c r="G9" s="319" t="s">
        <v>301</v>
      </c>
      <c r="H9" s="320" t="s">
        <v>302</v>
      </c>
      <c r="I9" s="321" t="s">
        <v>303</v>
      </c>
      <c r="J9" s="322" t="s">
        <v>304</v>
      </c>
      <c r="K9" s="323"/>
      <c r="L9" s="324" t="s">
        <v>305</v>
      </c>
      <c r="M9" s="325" t="s">
        <v>306</v>
      </c>
      <c r="N9" s="326" t="s">
        <v>307</v>
      </c>
      <c r="O9" s="327" t="s">
        <v>308</v>
      </c>
      <c r="P9" s="305"/>
      <c r="Q9" s="324" t="s">
        <v>309</v>
      </c>
      <c r="R9" s="329" t="s">
        <v>310</v>
      </c>
      <c r="S9" s="394" t="s">
        <v>311</v>
      </c>
      <c r="T9" s="326" t="s">
        <v>312</v>
      </c>
      <c r="U9" s="395" t="s">
        <v>313</v>
      </c>
      <c r="V9" s="323"/>
      <c r="W9" s="330" t="s">
        <v>314</v>
      </c>
      <c r="X9" s="331" t="s">
        <v>315</v>
      </c>
    </row>
    <row r="10" spans="1:25" ht="14.5" x14ac:dyDescent="0.35">
      <c r="A10" s="274">
        <v>2001</v>
      </c>
      <c r="B10" s="365" t="s">
        <v>378</v>
      </c>
      <c r="C10" s="366" t="s">
        <v>317</v>
      </c>
      <c r="D10" s="367"/>
      <c r="E10" s="368">
        <v>2340</v>
      </c>
      <c r="F10" s="368">
        <v>2535</v>
      </c>
      <c r="G10" s="368">
        <v>10650</v>
      </c>
      <c r="H10" s="369">
        <f>SUM(E10:G10)</f>
        <v>15525</v>
      </c>
      <c r="I10" s="370">
        <v>5.8534000000000006</v>
      </c>
      <c r="J10" s="371">
        <f t="shared" ref="J10:J41" si="0">H10*I10</f>
        <v>90874.035000000003</v>
      </c>
      <c r="K10" s="274"/>
      <c r="L10" s="372">
        <v>0.20661538461538459</v>
      </c>
      <c r="M10" s="373">
        <v>2807.0630478903408</v>
      </c>
      <c r="N10" s="374">
        <v>4926.3956490475484</v>
      </c>
      <c r="O10" s="375">
        <v>0.36260999999999993</v>
      </c>
      <c r="P10" s="305"/>
      <c r="Q10" s="376">
        <v>3.4782608695652174E-2</v>
      </c>
      <c r="R10" s="377">
        <v>472.55423772313043</v>
      </c>
      <c r="S10" s="378">
        <v>3.8249999999999997</v>
      </c>
      <c r="T10" s="374">
        <v>1807.5199592909737</v>
      </c>
      <c r="U10" s="399">
        <v>0.13304347826086957</v>
      </c>
      <c r="V10" s="274"/>
      <c r="W10" s="379">
        <v>6.3490534782608705</v>
      </c>
      <c r="X10" s="380">
        <f t="shared" ref="X10:X41" si="1">SUM(H10*W10)</f>
        <v>98569.055250000019</v>
      </c>
      <c r="Y10" s="162"/>
    </row>
    <row r="11" spans="1:25" ht="14.5" x14ac:dyDescent="0.35">
      <c r="A11" s="274">
        <v>3300</v>
      </c>
      <c r="B11" s="365" t="s">
        <v>379</v>
      </c>
      <c r="C11" s="366" t="s">
        <v>317</v>
      </c>
      <c r="D11" s="367"/>
      <c r="E11" s="381">
        <v>1620</v>
      </c>
      <c r="F11" s="381">
        <v>2340</v>
      </c>
      <c r="G11" s="381">
        <v>5460</v>
      </c>
      <c r="H11" s="369">
        <f t="shared" ref="H11:H61" si="2">SUM(E11:G11)</f>
        <v>9420</v>
      </c>
      <c r="I11" s="370">
        <v>5.8534000000000006</v>
      </c>
      <c r="J11" s="382">
        <f t="shared" si="0"/>
        <v>55139.028000000006</v>
      </c>
      <c r="K11" s="274"/>
      <c r="L11" s="372">
        <v>9.2777777777777778E-2</v>
      </c>
      <c r="M11" s="383">
        <v>764.80861474461449</v>
      </c>
      <c r="N11" s="374">
        <v>1342.2391188767986</v>
      </c>
      <c r="O11" s="375">
        <v>0.162825</v>
      </c>
      <c r="P11" s="305"/>
      <c r="Q11" s="376">
        <v>3.9808917197452227E-2</v>
      </c>
      <c r="R11" s="377">
        <v>328.16266508550717</v>
      </c>
      <c r="S11" s="378">
        <v>3.8249999999999997</v>
      </c>
      <c r="T11" s="384">
        <v>1255.2221939520648</v>
      </c>
      <c r="U11" s="399">
        <v>0.15226910828025475</v>
      </c>
      <c r="V11" s="274"/>
      <c r="W11" s="379">
        <v>6.1684941082802558</v>
      </c>
      <c r="X11" s="380">
        <f t="shared" si="1"/>
        <v>58107.214500000009</v>
      </c>
      <c r="Y11" s="162"/>
    </row>
    <row r="12" spans="1:25" ht="14.5" x14ac:dyDescent="0.35">
      <c r="A12" s="274">
        <v>3401</v>
      </c>
      <c r="B12" s="365" t="s">
        <v>380</v>
      </c>
      <c r="C12" s="366" t="s">
        <v>317</v>
      </c>
      <c r="D12" s="367"/>
      <c r="E12" s="381">
        <v>2019</v>
      </c>
      <c r="F12" s="381">
        <v>2106</v>
      </c>
      <c r="G12" s="381">
        <v>5925</v>
      </c>
      <c r="H12" s="369">
        <f t="shared" si="2"/>
        <v>10050</v>
      </c>
      <c r="I12" s="370">
        <v>5.8534000000000006</v>
      </c>
      <c r="J12" s="382">
        <f t="shared" si="0"/>
        <v>58826.670000000006</v>
      </c>
      <c r="K12" s="274"/>
      <c r="L12" s="372">
        <v>0.1858818181818182</v>
      </c>
      <c r="M12" s="383">
        <v>1634.7858722590024</v>
      </c>
      <c r="N12" s="374">
        <v>2869.0492058145496</v>
      </c>
      <c r="O12" s="375">
        <v>0.326222590909091</v>
      </c>
      <c r="P12" s="305"/>
      <c r="Q12" s="376">
        <v>0.10149253731343283</v>
      </c>
      <c r="R12" s="377">
        <v>892.60244903257967</v>
      </c>
      <c r="S12" s="378">
        <v>3.8249999999999997</v>
      </c>
      <c r="T12" s="384">
        <v>3414.204367549617</v>
      </c>
      <c r="U12" s="399">
        <v>0.38820895522388055</v>
      </c>
      <c r="V12" s="274"/>
      <c r="W12" s="379">
        <v>6.5678315461329717</v>
      </c>
      <c r="X12" s="380">
        <f t="shared" si="1"/>
        <v>66006.707038636363</v>
      </c>
      <c r="Y12" s="162"/>
    </row>
    <row r="13" spans="1:25" ht="14.5" x14ac:dyDescent="0.35">
      <c r="A13" s="274">
        <v>2003</v>
      </c>
      <c r="B13" s="365" t="s">
        <v>381</v>
      </c>
      <c r="C13" s="366" t="s">
        <v>317</v>
      </c>
      <c r="D13" s="367"/>
      <c r="E13" s="368">
        <v>1562</v>
      </c>
      <c r="F13" s="368">
        <v>2145</v>
      </c>
      <c r="G13" s="368">
        <v>0</v>
      </c>
      <c r="H13" s="369">
        <f t="shared" si="2"/>
        <v>3707</v>
      </c>
      <c r="I13" s="370">
        <v>5.8534000000000006</v>
      </c>
      <c r="J13" s="371">
        <f t="shared" si="0"/>
        <v>21698.553800000002</v>
      </c>
      <c r="K13" s="274"/>
      <c r="L13" s="372">
        <v>0.15806249999999999</v>
      </c>
      <c r="M13" s="373">
        <v>512.75432827743759</v>
      </c>
      <c r="N13" s="374">
        <v>899.88384612690299</v>
      </c>
      <c r="O13" s="375">
        <v>0.27739968749999999</v>
      </c>
      <c r="P13" s="305"/>
      <c r="Q13" s="376">
        <v>7.5579983814405172E-2</v>
      </c>
      <c r="R13" s="377">
        <v>245.18126584088529</v>
      </c>
      <c r="S13" s="378">
        <v>3.8249999999999997</v>
      </c>
      <c r="T13" s="374">
        <v>937.8183418413862</v>
      </c>
      <c r="U13" s="399">
        <v>0.2890934380900998</v>
      </c>
      <c r="V13" s="274"/>
      <c r="W13" s="379">
        <v>6.4198931255901011</v>
      </c>
      <c r="X13" s="380">
        <f t="shared" si="1"/>
        <v>23798.543816562506</v>
      </c>
      <c r="Y13" s="162"/>
    </row>
    <row r="14" spans="1:25" ht="14.5" x14ac:dyDescent="0.35">
      <c r="A14" s="274">
        <v>5206</v>
      </c>
      <c r="B14" s="365" t="s">
        <v>382</v>
      </c>
      <c r="C14" s="366" t="s">
        <v>317</v>
      </c>
      <c r="D14" s="367"/>
      <c r="E14" s="368">
        <v>3780</v>
      </c>
      <c r="F14" s="368">
        <v>3900</v>
      </c>
      <c r="G14" s="368">
        <v>11310</v>
      </c>
      <c r="H14" s="369">
        <f t="shared" si="2"/>
        <v>18990</v>
      </c>
      <c r="I14" s="370">
        <v>5.8534000000000006</v>
      </c>
      <c r="J14" s="371">
        <f t="shared" si="0"/>
        <v>111156.06600000001</v>
      </c>
      <c r="K14" s="274"/>
      <c r="L14" s="372">
        <v>0.18797619047619052</v>
      </c>
      <c r="M14" s="373">
        <v>3123.8179132535251</v>
      </c>
      <c r="N14" s="374">
        <v>5482.3004377599373</v>
      </c>
      <c r="O14" s="375">
        <v>0.32989821428571436</v>
      </c>
      <c r="P14" s="305"/>
      <c r="Q14" s="376">
        <v>8.5153513290747995E-2</v>
      </c>
      <c r="R14" s="377">
        <v>1415.0944836165481</v>
      </c>
      <c r="S14" s="378">
        <v>3.8249999999999997</v>
      </c>
      <c r="T14" s="374">
        <v>5412.7363998332967</v>
      </c>
      <c r="U14" s="399">
        <v>0.32571218833711107</v>
      </c>
      <c r="V14" s="274"/>
      <c r="W14" s="379">
        <v>6.5090104026228266</v>
      </c>
      <c r="X14" s="380">
        <f t="shared" si="1"/>
        <v>123606.10754580748</v>
      </c>
      <c r="Y14" s="162"/>
    </row>
    <row r="15" spans="1:25" ht="14.5" x14ac:dyDescent="0.35">
      <c r="A15" s="274">
        <v>2084</v>
      </c>
      <c r="B15" s="365" t="s">
        <v>383</v>
      </c>
      <c r="C15" s="366" t="s">
        <v>317</v>
      </c>
      <c r="D15" s="367"/>
      <c r="E15" s="381">
        <v>3600</v>
      </c>
      <c r="F15" s="381">
        <v>3705</v>
      </c>
      <c r="G15" s="381">
        <v>11479</v>
      </c>
      <c r="H15" s="369">
        <f t="shared" si="2"/>
        <v>18784</v>
      </c>
      <c r="I15" s="370">
        <v>5.8534000000000006</v>
      </c>
      <c r="J15" s="382">
        <f t="shared" si="0"/>
        <v>109950.26560000001</v>
      </c>
      <c r="K15" s="274"/>
      <c r="L15" s="372">
        <v>0.20631428571428573</v>
      </c>
      <c r="M15" s="383">
        <v>3391.3708468172726</v>
      </c>
      <c r="N15" s="374">
        <v>5951.8558361643136</v>
      </c>
      <c r="O15" s="375">
        <v>0.36208157142857145</v>
      </c>
      <c r="P15" s="305"/>
      <c r="Q15" s="376">
        <v>0.16735274989640408</v>
      </c>
      <c r="R15" s="377">
        <v>2750.9255365832778</v>
      </c>
      <c r="S15" s="378">
        <v>3.8249999999999997</v>
      </c>
      <c r="T15" s="384">
        <v>10522.290177431038</v>
      </c>
      <c r="U15" s="399">
        <v>0.64012426835374558</v>
      </c>
      <c r="V15" s="274"/>
      <c r="W15" s="379">
        <v>6.8556058397823172</v>
      </c>
      <c r="X15" s="380">
        <f t="shared" si="1"/>
        <v>128775.70009447105</v>
      </c>
      <c r="Y15" s="162"/>
    </row>
    <row r="16" spans="1:25" ht="14.5" x14ac:dyDescent="0.35">
      <c r="A16" s="274">
        <v>2010</v>
      </c>
      <c r="B16" s="365" t="s">
        <v>384</v>
      </c>
      <c r="C16" s="366" t="s">
        <v>317</v>
      </c>
      <c r="D16" s="367"/>
      <c r="E16" s="381">
        <v>3157</v>
      </c>
      <c r="F16" s="381">
        <v>4875</v>
      </c>
      <c r="G16" s="381">
        <v>13065</v>
      </c>
      <c r="H16" s="369">
        <f t="shared" si="2"/>
        <v>21097</v>
      </c>
      <c r="I16" s="370">
        <v>5.8534000000000006</v>
      </c>
      <c r="J16" s="382">
        <f t="shared" si="0"/>
        <v>123489.17980000001</v>
      </c>
      <c r="K16" s="274"/>
      <c r="L16" s="372">
        <v>0.17438888888888887</v>
      </c>
      <c r="M16" s="383">
        <v>3219.5666181518195</v>
      </c>
      <c r="N16" s="374">
        <v>5650.3394148564439</v>
      </c>
      <c r="O16" s="375">
        <v>0.30605250000000001</v>
      </c>
      <c r="P16" s="305"/>
      <c r="Q16" s="376">
        <v>5.8623560221832488E-2</v>
      </c>
      <c r="R16" s="377">
        <v>1082.3078163407602</v>
      </c>
      <c r="S16" s="378">
        <v>3.8249999999999997</v>
      </c>
      <c r="T16" s="384">
        <v>4139.8273975034072</v>
      </c>
      <c r="U16" s="399">
        <v>0.22423511784850925</v>
      </c>
      <c r="V16" s="274"/>
      <c r="W16" s="379">
        <v>6.3836876178485102</v>
      </c>
      <c r="X16" s="380">
        <f t="shared" si="1"/>
        <v>134676.65767375001</v>
      </c>
      <c r="Y16" s="162"/>
    </row>
    <row r="17" spans="1:25" ht="14.5" x14ac:dyDescent="0.35">
      <c r="A17" s="274">
        <v>2012</v>
      </c>
      <c r="B17" s="365" t="s">
        <v>385</v>
      </c>
      <c r="C17" s="366" t="s">
        <v>317</v>
      </c>
      <c r="D17" s="367"/>
      <c r="E17" s="381">
        <v>2132</v>
      </c>
      <c r="F17" s="381">
        <v>2340</v>
      </c>
      <c r="G17" s="381">
        <v>0</v>
      </c>
      <c r="H17" s="369">
        <f t="shared" si="2"/>
        <v>4472</v>
      </c>
      <c r="I17" s="370">
        <v>5.8534000000000006</v>
      </c>
      <c r="J17" s="382">
        <f t="shared" si="0"/>
        <v>26176.404800000004</v>
      </c>
      <c r="K17" s="274"/>
      <c r="L17" s="372">
        <v>0.12577272727272726</v>
      </c>
      <c r="M17" s="383">
        <v>492.20517499054887</v>
      </c>
      <c r="N17" s="374">
        <v>863.82008210841332</v>
      </c>
      <c r="O17" s="375">
        <v>0.22073113636363637</v>
      </c>
      <c r="P17" s="305"/>
      <c r="Q17" s="376">
        <v>0.17142857142857143</v>
      </c>
      <c r="R17" s="377">
        <v>670.87700034852037</v>
      </c>
      <c r="S17" s="378">
        <v>3.8249999999999997</v>
      </c>
      <c r="T17" s="384">
        <v>2566.1045263330902</v>
      </c>
      <c r="U17" s="399">
        <v>0.65571428571428569</v>
      </c>
      <c r="V17" s="274"/>
      <c r="W17" s="379">
        <v>6.7298454220779229</v>
      </c>
      <c r="X17" s="380">
        <f t="shared" si="1"/>
        <v>30095.86872753247</v>
      </c>
      <c r="Y17" s="162"/>
    </row>
    <row r="18" spans="1:25" ht="14.5" x14ac:dyDescent="0.35">
      <c r="A18" s="274">
        <v>3410</v>
      </c>
      <c r="B18" s="365" t="s">
        <v>386</v>
      </c>
      <c r="C18" s="366" t="s">
        <v>317</v>
      </c>
      <c r="D18" s="367"/>
      <c r="E18" s="368">
        <v>2160</v>
      </c>
      <c r="F18" s="368">
        <v>2340</v>
      </c>
      <c r="G18" s="368">
        <v>6645</v>
      </c>
      <c r="H18" s="369">
        <f t="shared" si="2"/>
        <v>11145</v>
      </c>
      <c r="I18" s="370">
        <v>5.8534000000000006</v>
      </c>
      <c r="J18" s="371">
        <f t="shared" si="0"/>
        <v>65236.143000000004</v>
      </c>
      <c r="K18" s="274"/>
      <c r="L18" s="372">
        <v>0.18174999999999999</v>
      </c>
      <c r="M18" s="373">
        <v>1772.6067333525266</v>
      </c>
      <c r="N18" s="374">
        <v>3110.9248170336846</v>
      </c>
      <c r="O18" s="375">
        <v>0.31897125000000004</v>
      </c>
      <c r="P18" s="305"/>
      <c r="Q18" s="376">
        <v>0</v>
      </c>
      <c r="R18" s="377">
        <v>0</v>
      </c>
      <c r="S18" s="378">
        <v>3.8249999999999997</v>
      </c>
      <c r="T18" s="374">
        <v>0</v>
      </c>
      <c r="U18" s="399">
        <v>0</v>
      </c>
      <c r="V18" s="274"/>
      <c r="W18" s="379">
        <v>6.1723712500000012</v>
      </c>
      <c r="X18" s="380">
        <f t="shared" si="1"/>
        <v>68791.077581250007</v>
      </c>
      <c r="Y18" s="162"/>
    </row>
    <row r="19" spans="1:25" ht="14.5" x14ac:dyDescent="0.35">
      <c r="A19" s="274">
        <v>2078</v>
      </c>
      <c r="B19" s="365" t="s">
        <v>387</v>
      </c>
      <c r="C19" s="366" t="s">
        <v>317</v>
      </c>
      <c r="D19" s="367"/>
      <c r="E19" s="368">
        <v>1695</v>
      </c>
      <c r="F19" s="368">
        <v>1950</v>
      </c>
      <c r="G19" s="368">
        <v>18915</v>
      </c>
      <c r="H19" s="369">
        <f t="shared" si="2"/>
        <v>22560</v>
      </c>
      <c r="I19" s="370">
        <v>5.8534000000000006</v>
      </c>
      <c r="J19" s="371">
        <f t="shared" si="0"/>
        <v>132052.70400000003</v>
      </c>
      <c r="K19" s="274"/>
      <c r="L19" s="372">
        <v>0.17543750000000002</v>
      </c>
      <c r="M19" s="373">
        <v>3463.5337793652711</v>
      </c>
      <c r="N19" s="374">
        <v>6078.5017827860511</v>
      </c>
      <c r="O19" s="375">
        <v>0.30789281250000006</v>
      </c>
      <c r="P19" s="305"/>
      <c r="Q19" s="376">
        <v>0</v>
      </c>
      <c r="R19" s="377">
        <v>0</v>
      </c>
      <c r="S19" s="378">
        <v>3.8249999999999997</v>
      </c>
      <c r="T19" s="374">
        <v>0</v>
      </c>
      <c r="U19" s="399">
        <v>0</v>
      </c>
      <c r="V19" s="274"/>
      <c r="W19" s="379">
        <v>6.161292812500001</v>
      </c>
      <c r="X19" s="380">
        <f t="shared" si="1"/>
        <v>138998.76585000003</v>
      </c>
      <c r="Y19" s="162"/>
    </row>
    <row r="20" spans="1:25" ht="14.5" x14ac:dyDescent="0.35">
      <c r="A20" s="274">
        <v>2016</v>
      </c>
      <c r="B20" s="365" t="s">
        <v>388</v>
      </c>
      <c r="C20" s="366" t="s">
        <v>317</v>
      </c>
      <c r="D20" s="367"/>
      <c r="E20" s="381">
        <v>4824</v>
      </c>
      <c r="F20" s="381">
        <v>4836</v>
      </c>
      <c r="G20" s="381">
        <v>16536</v>
      </c>
      <c r="H20" s="369">
        <f t="shared" si="2"/>
        <v>26196</v>
      </c>
      <c r="I20" s="370">
        <v>5.8534000000000006</v>
      </c>
      <c r="J20" s="382">
        <f t="shared" si="0"/>
        <v>153335.66640000002</v>
      </c>
      <c r="K20" s="274"/>
      <c r="L20" s="372">
        <v>0.15796296296296294</v>
      </c>
      <c r="M20" s="383">
        <v>3621.1636769958986</v>
      </c>
      <c r="N20" s="374">
        <v>6355.1422531278022</v>
      </c>
      <c r="O20" s="375">
        <v>0.27722499999999994</v>
      </c>
      <c r="P20" s="305"/>
      <c r="Q20" s="376">
        <v>1.6666666666666666E-2</v>
      </c>
      <c r="R20" s="377">
        <v>382.06885220355326</v>
      </c>
      <c r="S20" s="378">
        <v>3.8249999999999997</v>
      </c>
      <c r="T20" s="384">
        <v>1461.4133596785912</v>
      </c>
      <c r="U20" s="399">
        <v>6.3750000000000001E-2</v>
      </c>
      <c r="V20" s="274"/>
      <c r="W20" s="379">
        <v>6.1943749999999991</v>
      </c>
      <c r="X20" s="380">
        <f t="shared" si="1"/>
        <v>162267.84749999997</v>
      </c>
      <c r="Y20" s="162"/>
    </row>
    <row r="21" spans="1:25" ht="14.5" x14ac:dyDescent="0.35">
      <c r="A21" s="274">
        <v>3307</v>
      </c>
      <c r="B21" s="365" t="s">
        <v>389</v>
      </c>
      <c r="C21" s="366" t="s">
        <v>317</v>
      </c>
      <c r="D21" s="367"/>
      <c r="E21" s="368">
        <v>2340</v>
      </c>
      <c r="F21" s="368">
        <v>2145</v>
      </c>
      <c r="G21" s="368">
        <v>8175</v>
      </c>
      <c r="H21" s="369">
        <f t="shared" si="2"/>
        <v>12660</v>
      </c>
      <c r="I21" s="370">
        <v>5.8534000000000006</v>
      </c>
      <c r="J21" s="371">
        <f t="shared" si="0"/>
        <v>74104.044000000009</v>
      </c>
      <c r="K21" s="274"/>
      <c r="L21" s="372">
        <v>0.16983653846153846</v>
      </c>
      <c r="M21" s="373">
        <v>1881.5802144131096</v>
      </c>
      <c r="N21" s="374">
        <v>3302.1732762950078</v>
      </c>
      <c r="O21" s="375">
        <v>0.29806312500000004</v>
      </c>
      <c r="P21" s="305"/>
      <c r="Q21" s="376">
        <v>2.9620853080568721E-2</v>
      </c>
      <c r="R21" s="377">
        <v>328.16266508550723</v>
      </c>
      <c r="S21" s="378">
        <v>3.8249999999999997</v>
      </c>
      <c r="T21" s="374">
        <v>1255.222193952065</v>
      </c>
      <c r="U21" s="399">
        <v>0.11329976303317535</v>
      </c>
      <c r="V21" s="274"/>
      <c r="W21" s="379">
        <v>6.264762888033176</v>
      </c>
      <c r="X21" s="380">
        <f t="shared" si="1"/>
        <v>79311.898162500001</v>
      </c>
      <c r="Y21" s="162"/>
    </row>
    <row r="22" spans="1:25" ht="14.5" x14ac:dyDescent="0.35">
      <c r="A22" s="274">
        <v>2019</v>
      </c>
      <c r="B22" s="365" t="s">
        <v>390</v>
      </c>
      <c r="C22" s="366" t="s">
        <v>317</v>
      </c>
      <c r="D22" s="367"/>
      <c r="E22" s="381">
        <v>5940</v>
      </c>
      <c r="F22" s="381">
        <v>6435</v>
      </c>
      <c r="G22" s="381">
        <v>15392</v>
      </c>
      <c r="H22" s="369">
        <f t="shared" si="2"/>
        <v>27767</v>
      </c>
      <c r="I22" s="370">
        <v>5.8534000000000006</v>
      </c>
      <c r="J22" s="382">
        <f t="shared" si="0"/>
        <v>162531.35780000003</v>
      </c>
      <c r="K22" s="274"/>
      <c r="L22" s="372">
        <v>0.12626559139784946</v>
      </c>
      <c r="M22" s="383">
        <v>3068.1167369154864</v>
      </c>
      <c r="N22" s="374">
        <v>5384.5448732866789</v>
      </c>
      <c r="O22" s="375">
        <v>0.22159611290322581</v>
      </c>
      <c r="P22" s="305"/>
      <c r="Q22" s="376">
        <v>0.16163535968084647</v>
      </c>
      <c r="R22" s="377">
        <v>3927.563691929186</v>
      </c>
      <c r="S22" s="378">
        <v>3.8249999999999997</v>
      </c>
      <c r="T22" s="384">
        <v>15022.931121629135</v>
      </c>
      <c r="U22" s="399">
        <v>0.61825525077923771</v>
      </c>
      <c r="V22" s="274"/>
      <c r="W22" s="379">
        <v>6.6932513636824646</v>
      </c>
      <c r="X22" s="380">
        <f t="shared" si="1"/>
        <v>185851.51061537099</v>
      </c>
      <c r="Y22" s="162"/>
    </row>
    <row r="23" spans="1:25" ht="14.5" x14ac:dyDescent="0.35">
      <c r="A23" s="274">
        <v>2076</v>
      </c>
      <c r="B23" s="365" t="s">
        <v>391</v>
      </c>
      <c r="C23" s="366" t="s">
        <v>317</v>
      </c>
      <c r="D23" s="367"/>
      <c r="E23" s="368">
        <v>1260</v>
      </c>
      <c r="F23" s="368">
        <v>1365</v>
      </c>
      <c r="G23" s="368">
        <v>3510</v>
      </c>
      <c r="H23" s="369">
        <f t="shared" si="2"/>
        <v>6135</v>
      </c>
      <c r="I23" s="370">
        <v>5.8534000000000006</v>
      </c>
      <c r="J23" s="371">
        <f t="shared" si="0"/>
        <v>35910.609000000004</v>
      </c>
      <c r="K23" s="274"/>
      <c r="L23" s="372">
        <v>0.11</v>
      </c>
      <c r="M23" s="373">
        <v>590.56153208787885</v>
      </c>
      <c r="N23" s="374">
        <v>1036.4354888142275</v>
      </c>
      <c r="O23" s="375">
        <v>0.19305000000000003</v>
      </c>
      <c r="P23" s="305"/>
      <c r="Q23" s="376">
        <v>0</v>
      </c>
      <c r="R23" s="377">
        <v>0</v>
      </c>
      <c r="S23" s="378">
        <v>3.8249999999999997</v>
      </c>
      <c r="T23" s="374">
        <v>0</v>
      </c>
      <c r="U23" s="399">
        <v>0</v>
      </c>
      <c r="V23" s="274"/>
      <c r="W23" s="379">
        <v>6.0464500000000001</v>
      </c>
      <c r="X23" s="380">
        <f t="shared" si="1"/>
        <v>37094.97075</v>
      </c>
      <c r="Y23" s="162"/>
    </row>
    <row r="24" spans="1:25" ht="14.5" x14ac:dyDescent="0.35">
      <c r="A24" s="274">
        <v>2020</v>
      </c>
      <c r="B24" s="365" t="s">
        <v>392</v>
      </c>
      <c r="C24" s="366" t="s">
        <v>317</v>
      </c>
      <c r="D24" s="367"/>
      <c r="E24" s="368">
        <v>2716</v>
      </c>
      <c r="F24" s="368">
        <v>2974.5</v>
      </c>
      <c r="G24" s="368">
        <v>14284.5</v>
      </c>
      <c r="H24" s="369">
        <f t="shared" si="2"/>
        <v>19975</v>
      </c>
      <c r="I24" s="370">
        <v>5.8534000000000006</v>
      </c>
      <c r="J24" s="371">
        <f t="shared" si="0"/>
        <v>116921.66500000001</v>
      </c>
      <c r="K24" s="274"/>
      <c r="L24" s="372">
        <v>7.664379084967321E-2</v>
      </c>
      <c r="M24" s="373">
        <v>1339.7435268880329</v>
      </c>
      <c r="N24" s="374">
        <v>2351.2498896884977</v>
      </c>
      <c r="O24" s="375">
        <v>0.13450985294117648</v>
      </c>
      <c r="P24" s="305"/>
      <c r="Q24" s="376">
        <v>0</v>
      </c>
      <c r="R24" s="377">
        <v>0</v>
      </c>
      <c r="S24" s="378">
        <v>3.8249999999999997</v>
      </c>
      <c r="T24" s="374">
        <v>0</v>
      </c>
      <c r="U24" s="399">
        <v>0</v>
      </c>
      <c r="V24" s="274"/>
      <c r="W24" s="379">
        <v>5.9879098529411774</v>
      </c>
      <c r="X24" s="380">
        <f t="shared" si="1"/>
        <v>119608.49931250002</v>
      </c>
      <c r="Y24" s="162"/>
    </row>
    <row r="25" spans="1:25" ht="14.5" x14ac:dyDescent="0.35">
      <c r="A25" s="274">
        <v>2024</v>
      </c>
      <c r="B25" s="365" t="s">
        <v>393</v>
      </c>
      <c r="C25" s="366" t="s">
        <v>317</v>
      </c>
      <c r="D25" s="367"/>
      <c r="E25" s="368">
        <v>3060</v>
      </c>
      <c r="F25" s="368">
        <v>3315</v>
      </c>
      <c r="G25" s="368">
        <v>10530</v>
      </c>
      <c r="H25" s="369">
        <f t="shared" si="2"/>
        <v>16905</v>
      </c>
      <c r="I25" s="370">
        <v>5.8534000000000006</v>
      </c>
      <c r="J25" s="371">
        <f t="shared" si="0"/>
        <v>98951.727000000014</v>
      </c>
      <c r="K25" s="274"/>
      <c r="L25" s="372">
        <v>0.16071764705882352</v>
      </c>
      <c r="M25" s="373">
        <v>2377.5882348401033</v>
      </c>
      <c r="N25" s="374">
        <v>4172.6673521443818</v>
      </c>
      <c r="O25" s="375">
        <v>0.28205947058823527</v>
      </c>
      <c r="P25" s="305"/>
      <c r="Q25" s="376">
        <v>3.0053567320648067E-2</v>
      </c>
      <c r="R25" s="377">
        <v>444.59964032695763</v>
      </c>
      <c r="S25" s="378">
        <v>3.8249999999999997</v>
      </c>
      <c r="T25" s="374">
        <v>1700.5936242506127</v>
      </c>
      <c r="U25" s="399">
        <v>0.11495489500147885</v>
      </c>
      <c r="V25" s="274"/>
      <c r="W25" s="379">
        <v>6.2504143655897151</v>
      </c>
      <c r="X25" s="380">
        <f t="shared" si="1"/>
        <v>105663.25485029414</v>
      </c>
      <c r="Y25" s="162"/>
    </row>
    <row r="26" spans="1:25" ht="14.5" x14ac:dyDescent="0.35">
      <c r="A26" s="274">
        <v>2026</v>
      </c>
      <c r="B26" s="365" t="s">
        <v>394</v>
      </c>
      <c r="C26" s="366" t="s">
        <v>317</v>
      </c>
      <c r="D26" s="367"/>
      <c r="E26" s="381">
        <v>1080</v>
      </c>
      <c r="F26" s="381">
        <v>1365</v>
      </c>
      <c r="G26" s="381">
        <v>4050</v>
      </c>
      <c r="H26" s="369">
        <f t="shared" si="2"/>
        <v>6495</v>
      </c>
      <c r="I26" s="370">
        <v>5.8534000000000006</v>
      </c>
      <c r="J26" s="382">
        <f t="shared" si="0"/>
        <v>38017.833000000006</v>
      </c>
      <c r="K26" s="274"/>
      <c r="L26" s="372">
        <v>0.20168333333333333</v>
      </c>
      <c r="M26" s="383">
        <v>1146.32316374432</v>
      </c>
      <c r="N26" s="374">
        <v>2011.7971523712818</v>
      </c>
      <c r="O26" s="375">
        <v>0.35395425000000003</v>
      </c>
      <c r="P26" s="305"/>
      <c r="Q26" s="376">
        <v>0.4</v>
      </c>
      <c r="R26" s="377">
        <v>2273.5109437123942</v>
      </c>
      <c r="S26" s="378">
        <v>3.8249999999999997</v>
      </c>
      <c r="T26" s="384">
        <v>8696.1793596999069</v>
      </c>
      <c r="U26" s="399">
        <v>1.5299999999999998</v>
      </c>
      <c r="V26" s="274"/>
      <c r="W26" s="379">
        <v>7.7373542500000001</v>
      </c>
      <c r="X26" s="380">
        <f t="shared" si="1"/>
        <v>50254.115853750001</v>
      </c>
      <c r="Y26" s="162"/>
    </row>
    <row r="27" spans="1:25" ht="14.5" x14ac:dyDescent="0.35">
      <c r="A27" s="274">
        <v>5211</v>
      </c>
      <c r="B27" s="365" t="s">
        <v>395</v>
      </c>
      <c r="C27" s="366" t="s">
        <v>317</v>
      </c>
      <c r="D27" s="367"/>
      <c r="E27" s="381">
        <v>3060</v>
      </c>
      <c r="F27" s="381">
        <v>3315</v>
      </c>
      <c r="G27" s="381">
        <v>13455</v>
      </c>
      <c r="H27" s="369">
        <f t="shared" si="2"/>
        <v>19830</v>
      </c>
      <c r="I27" s="370">
        <v>5.8534000000000006</v>
      </c>
      <c r="J27" s="382">
        <f t="shared" si="0"/>
        <v>116072.92200000001</v>
      </c>
      <c r="K27" s="274"/>
      <c r="L27" s="372">
        <v>0.154</v>
      </c>
      <c r="M27" s="383">
        <v>2672.3992263771302</v>
      </c>
      <c r="N27" s="374">
        <v>4690.0606422918636</v>
      </c>
      <c r="O27" s="375">
        <v>0.27027000000000001</v>
      </c>
      <c r="P27" s="305"/>
      <c r="Q27" s="376">
        <v>9.1491386462349333E-2</v>
      </c>
      <c r="R27" s="377">
        <v>1587.6721454685285</v>
      </c>
      <c r="S27" s="378">
        <v>3.8249999999999997</v>
      </c>
      <c r="T27" s="384">
        <v>6072.8459564171208</v>
      </c>
      <c r="U27" s="399">
        <v>0.34995455321848618</v>
      </c>
      <c r="V27" s="274"/>
      <c r="W27" s="379">
        <v>6.4736245532184871</v>
      </c>
      <c r="X27" s="380">
        <f t="shared" si="1"/>
        <v>128371.9748903226</v>
      </c>
      <c r="Y27" s="162"/>
    </row>
    <row r="28" spans="1:25" ht="14.5" x14ac:dyDescent="0.35">
      <c r="A28" s="274">
        <v>2029</v>
      </c>
      <c r="B28" s="365" t="s">
        <v>396</v>
      </c>
      <c r="C28" s="366" t="s">
        <v>317</v>
      </c>
      <c r="D28" s="367"/>
      <c r="E28" s="381">
        <v>1980</v>
      </c>
      <c r="F28" s="381">
        <v>2145</v>
      </c>
      <c r="G28" s="381">
        <v>9315</v>
      </c>
      <c r="H28" s="369">
        <f t="shared" si="2"/>
        <v>13440</v>
      </c>
      <c r="I28" s="370">
        <v>5.8534000000000006</v>
      </c>
      <c r="J28" s="382">
        <f t="shared" si="0"/>
        <v>78669.696000000011</v>
      </c>
      <c r="K28" s="274"/>
      <c r="L28" s="372">
        <v>0.1704</v>
      </c>
      <c r="M28" s="383">
        <v>2004.1340257996444</v>
      </c>
      <c r="N28" s="374">
        <v>3517.255215278376</v>
      </c>
      <c r="O28" s="375">
        <v>0.29905199999999998</v>
      </c>
      <c r="P28" s="305"/>
      <c r="Q28" s="376">
        <v>2.7901785714285716E-2</v>
      </c>
      <c r="R28" s="377">
        <v>328.16266508550729</v>
      </c>
      <c r="S28" s="378">
        <v>3.8249999999999997</v>
      </c>
      <c r="T28" s="384">
        <v>1255.2221939520653</v>
      </c>
      <c r="U28" s="399">
        <v>0.10672433035714286</v>
      </c>
      <c r="V28" s="274"/>
      <c r="W28" s="379">
        <v>6.2591763303571444</v>
      </c>
      <c r="X28" s="380">
        <f t="shared" si="1"/>
        <v>84123.329880000019</v>
      </c>
      <c r="Y28" s="162"/>
    </row>
    <row r="29" spans="1:25" ht="14.5" x14ac:dyDescent="0.35">
      <c r="A29" s="274">
        <v>2063</v>
      </c>
      <c r="B29" s="365" t="s">
        <v>397</v>
      </c>
      <c r="C29" s="366" t="s">
        <v>317</v>
      </c>
      <c r="D29" s="367"/>
      <c r="E29" s="381">
        <v>1260</v>
      </c>
      <c r="F29" s="381">
        <v>1365</v>
      </c>
      <c r="G29" s="381">
        <v>1950</v>
      </c>
      <c r="H29" s="369">
        <f t="shared" si="2"/>
        <v>4575</v>
      </c>
      <c r="I29" s="370">
        <v>5.8534000000000006</v>
      </c>
      <c r="J29" s="382">
        <f t="shared" si="0"/>
        <v>26779.305000000004</v>
      </c>
      <c r="K29" s="274"/>
      <c r="L29" s="372">
        <v>0.15421428571428572</v>
      </c>
      <c r="M29" s="383">
        <v>617.40992612994603</v>
      </c>
      <c r="N29" s="374">
        <v>1083.5544203580553</v>
      </c>
      <c r="O29" s="375">
        <v>0.27064607142857144</v>
      </c>
      <c r="P29" s="305"/>
      <c r="Q29" s="376">
        <v>8.1967213114754092E-2</v>
      </c>
      <c r="R29" s="377">
        <v>328.16266508550723</v>
      </c>
      <c r="S29" s="378">
        <v>3.8249999999999997</v>
      </c>
      <c r="T29" s="384">
        <v>1255.222193952065</v>
      </c>
      <c r="U29" s="399">
        <v>0.31352459016393436</v>
      </c>
      <c r="V29" s="274"/>
      <c r="W29" s="379">
        <v>6.4375706615925052</v>
      </c>
      <c r="X29" s="380">
        <f t="shared" si="1"/>
        <v>29451.885776785712</v>
      </c>
      <c r="Y29" s="162"/>
    </row>
    <row r="30" spans="1:25" ht="14.5" x14ac:dyDescent="0.35">
      <c r="A30" s="274">
        <v>2081</v>
      </c>
      <c r="B30" s="365" t="s">
        <v>398</v>
      </c>
      <c r="C30" s="366" t="s">
        <v>317</v>
      </c>
      <c r="D30" s="367"/>
      <c r="E30" s="368">
        <v>3542</v>
      </c>
      <c r="F30" s="368">
        <v>4290</v>
      </c>
      <c r="G30" s="368">
        <v>15210</v>
      </c>
      <c r="H30" s="369">
        <f t="shared" si="2"/>
        <v>23042</v>
      </c>
      <c r="I30" s="370">
        <v>5.8534000000000006</v>
      </c>
      <c r="J30" s="371">
        <f t="shared" si="0"/>
        <v>134874.04280000002</v>
      </c>
      <c r="K30" s="274"/>
      <c r="L30" s="372">
        <v>0.16047500000000003</v>
      </c>
      <c r="M30" s="373">
        <v>3235.8282255607178</v>
      </c>
      <c r="N30" s="374">
        <v>5678.8785358590603</v>
      </c>
      <c r="O30" s="375">
        <v>0.28163362500000005</v>
      </c>
      <c r="P30" s="305"/>
      <c r="Q30" s="376">
        <v>1.1477780335593855E-2</v>
      </c>
      <c r="R30" s="377">
        <v>231.43870121015956</v>
      </c>
      <c r="S30" s="378">
        <v>3.8249999999999997</v>
      </c>
      <c r="T30" s="374">
        <v>885.25303212886024</v>
      </c>
      <c r="U30" s="399">
        <v>4.3902509783646487E-2</v>
      </c>
      <c r="V30" s="274"/>
      <c r="W30" s="379">
        <v>6.1789361347836467</v>
      </c>
      <c r="X30" s="380">
        <f t="shared" si="1"/>
        <v>142375.04641768479</v>
      </c>
      <c r="Y30" s="162"/>
    </row>
    <row r="31" spans="1:25" ht="14.5" x14ac:dyDescent="0.35">
      <c r="A31" s="274">
        <v>5204</v>
      </c>
      <c r="B31" s="365" t="s">
        <v>399</v>
      </c>
      <c r="C31" s="366" t="s">
        <v>317</v>
      </c>
      <c r="D31" s="367"/>
      <c r="E31" s="368">
        <v>2520</v>
      </c>
      <c r="F31" s="368">
        <v>2730</v>
      </c>
      <c r="G31" s="368">
        <v>9810</v>
      </c>
      <c r="H31" s="369">
        <f t="shared" si="2"/>
        <v>15060</v>
      </c>
      <c r="I31" s="370">
        <v>5.8534000000000006</v>
      </c>
      <c r="J31" s="371">
        <f t="shared" si="0"/>
        <v>88152.204000000012</v>
      </c>
      <c r="K31" s="274"/>
      <c r="L31" s="372">
        <v>0.15238888888888888</v>
      </c>
      <c r="M31" s="373">
        <v>2008.3350913130323</v>
      </c>
      <c r="N31" s="374">
        <v>3524.6280852543719</v>
      </c>
      <c r="O31" s="375">
        <v>0.26744250000000003</v>
      </c>
      <c r="P31" s="305"/>
      <c r="Q31" s="376">
        <v>3.2242823577484932E-2</v>
      </c>
      <c r="R31" s="377">
        <v>424.92857914918244</v>
      </c>
      <c r="S31" s="378">
        <v>3.8249999999999997</v>
      </c>
      <c r="T31" s="374">
        <v>1625.3518152456227</v>
      </c>
      <c r="U31" s="399">
        <v>0.12332880018387984</v>
      </c>
      <c r="V31" s="274"/>
      <c r="W31" s="379">
        <v>6.244171300183881</v>
      </c>
      <c r="X31" s="380">
        <f t="shared" si="1"/>
        <v>94037.219780769243</v>
      </c>
      <c r="Y31" s="162"/>
    </row>
    <row r="32" spans="1:25" ht="14.5" x14ac:dyDescent="0.35">
      <c r="A32" s="274">
        <v>3302</v>
      </c>
      <c r="B32" s="365" t="s">
        <v>400</v>
      </c>
      <c r="C32" s="366" t="s">
        <v>317</v>
      </c>
      <c r="D32" s="367"/>
      <c r="E32" s="368">
        <v>630</v>
      </c>
      <c r="F32" s="368">
        <v>585</v>
      </c>
      <c r="G32" s="368">
        <v>2925</v>
      </c>
      <c r="H32" s="369">
        <f t="shared" si="2"/>
        <v>4140</v>
      </c>
      <c r="I32" s="370">
        <v>5.8534000000000006</v>
      </c>
      <c r="J32" s="371">
        <f t="shared" si="0"/>
        <v>24233.076000000001</v>
      </c>
      <c r="K32" s="274"/>
      <c r="L32" s="372">
        <v>0.16299999999999998</v>
      </c>
      <c r="M32" s="373">
        <v>590.53527907467185</v>
      </c>
      <c r="N32" s="374">
        <v>1036.3894147760491</v>
      </c>
      <c r="O32" s="375">
        <v>0.28606499999999996</v>
      </c>
      <c r="P32" s="305"/>
      <c r="Q32" s="376">
        <v>0</v>
      </c>
      <c r="R32" s="377">
        <v>0</v>
      </c>
      <c r="S32" s="378">
        <v>3.8249999999999997</v>
      </c>
      <c r="T32" s="374">
        <v>0</v>
      </c>
      <c r="U32" s="399">
        <v>0</v>
      </c>
      <c r="V32" s="274"/>
      <c r="W32" s="379">
        <v>6.1394650000000004</v>
      </c>
      <c r="X32" s="380">
        <f t="shared" si="1"/>
        <v>25417.385100000003</v>
      </c>
      <c r="Y32" s="162"/>
    </row>
    <row r="33" spans="1:25" ht="14.5" x14ac:dyDescent="0.35">
      <c r="A33" s="274">
        <v>2027</v>
      </c>
      <c r="B33" s="365" t="s">
        <v>401</v>
      </c>
      <c r="C33" s="366" t="s">
        <v>317</v>
      </c>
      <c r="D33" s="367"/>
      <c r="E33" s="381">
        <v>3511</v>
      </c>
      <c r="F33" s="381">
        <v>3510</v>
      </c>
      <c r="G33" s="381">
        <v>12885</v>
      </c>
      <c r="H33" s="369">
        <f t="shared" si="2"/>
        <v>19906</v>
      </c>
      <c r="I33" s="370">
        <v>5.8534000000000006</v>
      </c>
      <c r="J33" s="382">
        <f t="shared" si="0"/>
        <v>116517.78040000002</v>
      </c>
      <c r="K33" s="274"/>
      <c r="L33" s="372">
        <v>0.14232411067193673</v>
      </c>
      <c r="M33" s="383">
        <v>2479.2503362424804</v>
      </c>
      <c r="N33" s="374">
        <v>4351.0843401055536</v>
      </c>
      <c r="O33" s="375">
        <v>0.249778814229249</v>
      </c>
      <c r="P33" s="305"/>
      <c r="Q33" s="376">
        <v>2.4550615163998063E-2</v>
      </c>
      <c r="R33" s="377">
        <v>427.66556286870679</v>
      </c>
      <c r="S33" s="378">
        <v>3.8249999999999997</v>
      </c>
      <c r="T33" s="384">
        <v>1635.8207779728034</v>
      </c>
      <c r="U33" s="399">
        <v>9.3906103002292587E-2</v>
      </c>
      <c r="V33" s="274"/>
      <c r="W33" s="379">
        <v>6.1970849172315425</v>
      </c>
      <c r="X33" s="380">
        <f t="shared" si="1"/>
        <v>123359.17236241109</v>
      </c>
      <c r="Y33" s="162"/>
    </row>
    <row r="34" spans="1:25" ht="14.5" x14ac:dyDescent="0.35">
      <c r="A34" s="274">
        <v>2032</v>
      </c>
      <c r="B34" s="365" t="s">
        <v>402</v>
      </c>
      <c r="C34" s="366" t="s">
        <v>317</v>
      </c>
      <c r="D34" s="367"/>
      <c r="E34" s="381">
        <v>4093</v>
      </c>
      <c r="F34" s="381">
        <v>4095</v>
      </c>
      <c r="G34" s="381">
        <v>14820</v>
      </c>
      <c r="H34" s="369">
        <f t="shared" si="2"/>
        <v>23008</v>
      </c>
      <c r="I34" s="370">
        <v>5.8534000000000006</v>
      </c>
      <c r="J34" s="382">
        <f t="shared" si="0"/>
        <v>134675.02720000001</v>
      </c>
      <c r="K34" s="274"/>
      <c r="L34" s="372">
        <v>9.0241106719367581E-2</v>
      </c>
      <c r="M34" s="383">
        <v>1816.9425012437259</v>
      </c>
      <c r="N34" s="374">
        <v>3188.7340896827391</v>
      </c>
      <c r="O34" s="375">
        <v>0.15837314229249011</v>
      </c>
      <c r="P34" s="305"/>
      <c r="Q34" s="376">
        <v>5.3727825596347131E-2</v>
      </c>
      <c r="R34" s="377">
        <v>1081.7727460833803</v>
      </c>
      <c r="S34" s="378">
        <v>3.8249999999999997</v>
      </c>
      <c r="T34" s="384">
        <v>4137.7807537689296</v>
      </c>
      <c r="U34" s="399">
        <v>0.20550893290602779</v>
      </c>
      <c r="V34" s="274"/>
      <c r="W34" s="379">
        <v>6.2172820751985185</v>
      </c>
      <c r="X34" s="380">
        <f t="shared" si="1"/>
        <v>143047.22598616753</v>
      </c>
      <c r="Y34" s="162"/>
    </row>
    <row r="35" spans="1:25" ht="14.5" x14ac:dyDescent="0.35">
      <c r="A35" s="274">
        <v>2028</v>
      </c>
      <c r="B35" s="365" t="s">
        <v>403</v>
      </c>
      <c r="C35" s="366" t="s">
        <v>317</v>
      </c>
      <c r="D35" s="367"/>
      <c r="E35" s="381">
        <v>1080</v>
      </c>
      <c r="F35" s="381">
        <v>1365</v>
      </c>
      <c r="G35" s="381">
        <v>2340</v>
      </c>
      <c r="H35" s="369">
        <f t="shared" si="2"/>
        <v>4785</v>
      </c>
      <c r="I35" s="370">
        <v>5.8534000000000006</v>
      </c>
      <c r="J35" s="382">
        <f t="shared" si="0"/>
        <v>28008.519000000004</v>
      </c>
      <c r="K35" s="274"/>
      <c r="L35" s="372">
        <v>0.18308333333333335</v>
      </c>
      <c r="M35" s="383">
        <v>766.6350222884073</v>
      </c>
      <c r="N35" s="374">
        <v>1345.4444641161549</v>
      </c>
      <c r="O35" s="375">
        <v>0.32131125000000005</v>
      </c>
      <c r="P35" s="305"/>
      <c r="Q35" s="376">
        <v>0</v>
      </c>
      <c r="R35" s="377">
        <v>0</v>
      </c>
      <c r="S35" s="378">
        <v>3.8249999999999997</v>
      </c>
      <c r="T35" s="384">
        <v>0</v>
      </c>
      <c r="U35" s="399">
        <v>0</v>
      </c>
      <c r="V35" s="274"/>
      <c r="W35" s="379">
        <v>6.1747112500000005</v>
      </c>
      <c r="X35" s="380">
        <f t="shared" si="1"/>
        <v>29545.993331250003</v>
      </c>
      <c r="Y35" s="162"/>
    </row>
    <row r="36" spans="1:25" ht="14.5" x14ac:dyDescent="0.35">
      <c r="A36" s="274">
        <v>2037</v>
      </c>
      <c r="B36" s="365" t="s">
        <v>404</v>
      </c>
      <c r="C36" s="366" t="s">
        <v>317</v>
      </c>
      <c r="D36" s="367"/>
      <c r="E36" s="368">
        <v>1980</v>
      </c>
      <c r="F36" s="368">
        <v>1950</v>
      </c>
      <c r="G36" s="368">
        <v>19500</v>
      </c>
      <c r="H36" s="369">
        <f t="shared" si="2"/>
        <v>23430</v>
      </c>
      <c r="I36" s="370">
        <v>5.8534000000000006</v>
      </c>
      <c r="J36" s="371">
        <f t="shared" si="0"/>
        <v>137145.16200000001</v>
      </c>
      <c r="K36" s="274"/>
      <c r="L36" s="372">
        <v>0.18106818181818182</v>
      </c>
      <c r="M36" s="373">
        <v>3712.5501728854551</v>
      </c>
      <c r="N36" s="374">
        <v>6515.5255534139742</v>
      </c>
      <c r="O36" s="375">
        <v>0.31777465909090913</v>
      </c>
      <c r="P36" s="305"/>
      <c r="Q36" s="376">
        <v>8.3333333333333329E-2</v>
      </c>
      <c r="R36" s="377">
        <v>1708.6336095452075</v>
      </c>
      <c r="S36" s="378">
        <v>3.8249999999999997</v>
      </c>
      <c r="T36" s="374">
        <v>6535.5235565104185</v>
      </c>
      <c r="U36" s="399">
        <v>0.31874999999999998</v>
      </c>
      <c r="V36" s="274"/>
      <c r="W36" s="379">
        <v>6.4899246590909092</v>
      </c>
      <c r="X36" s="380">
        <f t="shared" si="1"/>
        <v>152058.93476249999</v>
      </c>
      <c r="Y36" s="162"/>
    </row>
    <row r="37" spans="1:25" ht="14.5" x14ac:dyDescent="0.35">
      <c r="A37" s="274">
        <v>2039</v>
      </c>
      <c r="B37" s="365" t="s">
        <v>405</v>
      </c>
      <c r="C37" s="366" t="s">
        <v>317</v>
      </c>
      <c r="D37" s="367"/>
      <c r="E37" s="368">
        <v>3547.5</v>
      </c>
      <c r="F37" s="368">
        <v>3705</v>
      </c>
      <c r="G37" s="368">
        <v>11850</v>
      </c>
      <c r="H37" s="369">
        <f t="shared" si="2"/>
        <v>19102.5</v>
      </c>
      <c r="I37" s="370">
        <v>5.8534000000000006</v>
      </c>
      <c r="J37" s="371">
        <f t="shared" si="0"/>
        <v>111814.57350000001</v>
      </c>
      <c r="K37" s="274"/>
      <c r="L37" s="372">
        <v>0.14187142857142857</v>
      </c>
      <c r="M37" s="373">
        <v>2371.6087967079279</v>
      </c>
      <c r="N37" s="374">
        <v>4162.173438222414</v>
      </c>
      <c r="O37" s="375">
        <v>0.24898435714285719</v>
      </c>
      <c r="P37" s="305"/>
      <c r="Q37" s="376">
        <v>4.6511627906976744E-2</v>
      </c>
      <c r="R37" s="377">
        <v>777.51656555608088</v>
      </c>
      <c r="S37" s="378">
        <v>3.8249999999999997</v>
      </c>
      <c r="T37" s="374">
        <v>2974.0008632520094</v>
      </c>
      <c r="U37" s="399">
        <v>0.17790697674418604</v>
      </c>
      <c r="V37" s="274"/>
      <c r="W37" s="379">
        <v>6.2802913338870425</v>
      </c>
      <c r="X37" s="380">
        <f t="shared" si="1"/>
        <v>119969.26520557723</v>
      </c>
      <c r="Y37" s="162"/>
    </row>
    <row r="38" spans="1:25" ht="14.5" x14ac:dyDescent="0.35">
      <c r="A38" s="274">
        <v>5200</v>
      </c>
      <c r="B38" s="365" t="s">
        <v>406</v>
      </c>
      <c r="C38" s="366" t="s">
        <v>317</v>
      </c>
      <c r="D38" s="367"/>
      <c r="E38" s="368">
        <v>3534</v>
      </c>
      <c r="F38" s="368">
        <v>7559.5</v>
      </c>
      <c r="G38" s="368">
        <v>10905</v>
      </c>
      <c r="H38" s="369">
        <f t="shared" si="2"/>
        <v>21998.5</v>
      </c>
      <c r="I38" s="370">
        <v>5.8534000000000006</v>
      </c>
      <c r="J38" s="371">
        <f t="shared" si="0"/>
        <v>128766.01990000001</v>
      </c>
      <c r="K38" s="274"/>
      <c r="L38" s="372">
        <v>0.14865714285714282</v>
      </c>
      <c r="M38" s="373">
        <v>2861.7833505644194</v>
      </c>
      <c r="N38" s="374">
        <v>5022.4297802405563</v>
      </c>
      <c r="O38" s="375">
        <v>0.26089328571428566</v>
      </c>
      <c r="P38" s="305"/>
      <c r="Q38" s="376">
        <v>0</v>
      </c>
      <c r="R38" s="377">
        <v>0</v>
      </c>
      <c r="S38" s="378">
        <v>3.8249999999999997</v>
      </c>
      <c r="T38" s="374">
        <v>0</v>
      </c>
      <c r="U38" s="399">
        <v>0</v>
      </c>
      <c r="V38" s="274"/>
      <c r="W38" s="379">
        <v>6.114293285714286</v>
      </c>
      <c r="X38" s="380">
        <f t="shared" si="1"/>
        <v>134505.28084578572</v>
      </c>
      <c r="Y38" s="162"/>
    </row>
    <row r="39" spans="1:25" ht="14.5" x14ac:dyDescent="0.35">
      <c r="A39" s="274">
        <v>2040</v>
      </c>
      <c r="B39" s="365" t="s">
        <v>407</v>
      </c>
      <c r="C39" s="366" t="s">
        <v>317</v>
      </c>
      <c r="D39" s="367"/>
      <c r="E39" s="368">
        <v>1080</v>
      </c>
      <c r="F39" s="368">
        <v>1170</v>
      </c>
      <c r="G39" s="368">
        <v>9165</v>
      </c>
      <c r="H39" s="369">
        <f t="shared" si="2"/>
        <v>11415</v>
      </c>
      <c r="I39" s="370">
        <v>5.8534000000000006</v>
      </c>
      <c r="J39" s="371">
        <f t="shared" si="0"/>
        <v>66816.561000000002</v>
      </c>
      <c r="K39" s="274"/>
      <c r="L39" s="372">
        <v>0.13451666666666665</v>
      </c>
      <c r="M39" s="373">
        <v>1343.7235079985353</v>
      </c>
      <c r="N39" s="374">
        <v>2358.2347565374298</v>
      </c>
      <c r="O39" s="375">
        <v>0.23607675</v>
      </c>
      <c r="P39" s="305"/>
      <c r="Q39" s="376">
        <v>0.11239696571496835</v>
      </c>
      <c r="R39" s="377">
        <v>1122.7638091357333</v>
      </c>
      <c r="S39" s="378">
        <v>3.8249999999999997</v>
      </c>
      <c r="T39" s="374">
        <v>4294.5715699441798</v>
      </c>
      <c r="U39" s="399">
        <v>0.42991839385975394</v>
      </c>
      <c r="V39" s="274"/>
      <c r="W39" s="379">
        <v>6.5193951438597537</v>
      </c>
      <c r="X39" s="380">
        <f t="shared" si="1"/>
        <v>74418.895567159096</v>
      </c>
      <c r="Y39" s="162"/>
    </row>
    <row r="40" spans="1:25" ht="14.5" x14ac:dyDescent="0.35">
      <c r="A40" s="274">
        <v>2080</v>
      </c>
      <c r="B40" s="365" t="s">
        <v>408</v>
      </c>
      <c r="C40" s="366" t="s">
        <v>317</v>
      </c>
      <c r="D40" s="367"/>
      <c r="E40" s="368">
        <v>1440</v>
      </c>
      <c r="F40" s="368">
        <v>2535</v>
      </c>
      <c r="G40" s="368">
        <v>5955</v>
      </c>
      <c r="H40" s="369">
        <f t="shared" si="2"/>
        <v>9930</v>
      </c>
      <c r="I40" s="370">
        <v>5.8534000000000006</v>
      </c>
      <c r="J40" s="371">
        <f t="shared" si="0"/>
        <v>58124.262000000002</v>
      </c>
      <c r="K40" s="274"/>
      <c r="L40" s="372">
        <v>0.14908749999999998</v>
      </c>
      <c r="M40" s="373">
        <v>1295.5327112431735</v>
      </c>
      <c r="N40" s="374">
        <v>2273.6599082317698</v>
      </c>
      <c r="O40" s="375">
        <v>0.26164856250000001</v>
      </c>
      <c r="P40" s="305"/>
      <c r="Q40" s="376">
        <v>0.17462235649546828</v>
      </c>
      <c r="R40" s="377">
        <v>1517.4241633553854</v>
      </c>
      <c r="S40" s="378">
        <v>3.8249999999999997</v>
      </c>
      <c r="T40" s="374">
        <v>5804.1474248343484</v>
      </c>
      <c r="U40" s="399">
        <v>0.66793051359516609</v>
      </c>
      <c r="V40" s="274"/>
      <c r="W40" s="379">
        <v>6.7829790760951676</v>
      </c>
      <c r="X40" s="380">
        <f t="shared" si="1"/>
        <v>67354.982225625019</v>
      </c>
      <c r="Y40" s="162"/>
    </row>
    <row r="41" spans="1:25" ht="14.5" x14ac:dyDescent="0.35">
      <c r="A41" s="274">
        <v>2048</v>
      </c>
      <c r="B41" s="365" t="s">
        <v>409</v>
      </c>
      <c r="C41" s="366" t="s">
        <v>317</v>
      </c>
      <c r="D41" s="367"/>
      <c r="E41" s="381">
        <v>3420</v>
      </c>
      <c r="F41" s="381">
        <v>3900</v>
      </c>
      <c r="G41" s="381">
        <v>7605</v>
      </c>
      <c r="H41" s="369">
        <f t="shared" si="2"/>
        <v>14925</v>
      </c>
      <c r="I41" s="370">
        <v>5.8534000000000006</v>
      </c>
      <c r="J41" s="382">
        <f t="shared" si="0"/>
        <v>87361.99500000001</v>
      </c>
      <c r="K41" s="274"/>
      <c r="L41" s="372">
        <v>0.16525877192982458</v>
      </c>
      <c r="M41" s="383">
        <v>2158.4240092049204</v>
      </c>
      <c r="N41" s="374">
        <v>3788.0341361546357</v>
      </c>
      <c r="O41" s="375">
        <v>0.29002914473684216</v>
      </c>
      <c r="P41" s="305"/>
      <c r="Q41" s="376">
        <v>0</v>
      </c>
      <c r="R41" s="377">
        <v>0</v>
      </c>
      <c r="S41" s="378">
        <v>3.8249999999999997</v>
      </c>
      <c r="T41" s="384">
        <v>0</v>
      </c>
      <c r="U41" s="399">
        <v>0</v>
      </c>
      <c r="V41" s="274"/>
      <c r="W41" s="379">
        <v>6.1434291447368414</v>
      </c>
      <c r="X41" s="380">
        <f t="shared" si="1"/>
        <v>91690.679985197363</v>
      </c>
      <c r="Y41" s="162"/>
    </row>
    <row r="42" spans="1:25" ht="14.5" x14ac:dyDescent="0.35">
      <c r="A42" s="274">
        <v>3405</v>
      </c>
      <c r="B42" s="365" t="s">
        <v>410</v>
      </c>
      <c r="C42" s="366" t="s">
        <v>317</v>
      </c>
      <c r="D42" s="367"/>
      <c r="E42" s="381">
        <v>1440</v>
      </c>
      <c r="F42" s="381">
        <v>1560</v>
      </c>
      <c r="G42" s="381">
        <v>10725</v>
      </c>
      <c r="H42" s="369">
        <f t="shared" si="2"/>
        <v>13725</v>
      </c>
      <c r="I42" s="370">
        <v>5.8534000000000006</v>
      </c>
      <c r="J42" s="382">
        <f t="shared" ref="J42:J61" si="3">H42*I42</f>
        <v>80337.915000000008</v>
      </c>
      <c r="K42" s="274"/>
      <c r="L42" s="372">
        <v>0.14650000000000002</v>
      </c>
      <c r="M42" s="383">
        <v>1759.5753939219815</v>
      </c>
      <c r="N42" s="374">
        <v>3088.0548163330777</v>
      </c>
      <c r="O42" s="375">
        <v>0.25710750000000004</v>
      </c>
      <c r="P42" s="305"/>
      <c r="Q42" s="376">
        <v>5.8823529411764705E-2</v>
      </c>
      <c r="R42" s="377">
        <v>706.51491424291555</v>
      </c>
      <c r="S42" s="378">
        <v>3.8249999999999997</v>
      </c>
      <c r="T42" s="384">
        <v>2702.4195469791516</v>
      </c>
      <c r="U42" s="399">
        <v>0.22499999999999995</v>
      </c>
      <c r="V42" s="274"/>
      <c r="W42" s="379">
        <v>6.3355075000000003</v>
      </c>
      <c r="X42" s="380">
        <f t="shared" ref="X42:X61" si="4">SUM(H42*W42)</f>
        <v>86954.84043750001</v>
      </c>
      <c r="Y42" s="162"/>
    </row>
    <row r="43" spans="1:25" ht="14.5" x14ac:dyDescent="0.35">
      <c r="A43" s="274">
        <v>5208</v>
      </c>
      <c r="B43" s="365" t="s">
        <v>411</v>
      </c>
      <c r="C43" s="366" t="s">
        <v>317</v>
      </c>
      <c r="D43" s="367"/>
      <c r="E43" s="368">
        <v>1350</v>
      </c>
      <c r="F43" s="368">
        <v>1590</v>
      </c>
      <c r="G43" s="368">
        <v>5484</v>
      </c>
      <c r="H43" s="369">
        <f t="shared" si="2"/>
        <v>8424</v>
      </c>
      <c r="I43" s="370">
        <v>5.8534000000000006</v>
      </c>
      <c r="J43" s="371">
        <f t="shared" si="3"/>
        <v>49309.041600000004</v>
      </c>
      <c r="K43" s="274"/>
      <c r="L43" s="372">
        <v>0.14862500000000001</v>
      </c>
      <c r="M43" s="373">
        <v>1095.6406278729642</v>
      </c>
      <c r="N43" s="374">
        <v>1922.8493019170521</v>
      </c>
      <c r="O43" s="375">
        <v>0.26083687500000002</v>
      </c>
      <c r="P43" s="305"/>
      <c r="Q43" s="376">
        <v>0.13354700854700854</v>
      </c>
      <c r="R43" s="377">
        <v>984.4879952565218</v>
      </c>
      <c r="S43" s="378">
        <v>3.8249999999999997</v>
      </c>
      <c r="T43" s="374">
        <v>3765.6665818561955</v>
      </c>
      <c r="U43" s="399">
        <v>0.51081730769230771</v>
      </c>
      <c r="V43" s="274"/>
      <c r="W43" s="379">
        <v>6.6250541826923079</v>
      </c>
      <c r="X43" s="380">
        <f t="shared" si="4"/>
        <v>55809.456435</v>
      </c>
      <c r="Y43" s="162"/>
    </row>
    <row r="44" spans="1:25" ht="14.5" x14ac:dyDescent="0.35">
      <c r="A44" s="274">
        <v>3402</v>
      </c>
      <c r="B44" s="365" t="s">
        <v>412</v>
      </c>
      <c r="C44" s="366" t="s">
        <v>317</v>
      </c>
      <c r="D44" s="367"/>
      <c r="E44" s="368">
        <v>2462</v>
      </c>
      <c r="F44" s="368">
        <v>2730</v>
      </c>
      <c r="G44" s="368">
        <v>7605</v>
      </c>
      <c r="H44" s="369">
        <f t="shared" si="2"/>
        <v>12797</v>
      </c>
      <c r="I44" s="370">
        <v>5.8534000000000006</v>
      </c>
      <c r="J44" s="371">
        <f t="shared" si="3"/>
        <v>74905.959800000011</v>
      </c>
      <c r="K44" s="274"/>
      <c r="L44" s="372">
        <v>0.14239285714285715</v>
      </c>
      <c r="M44" s="373">
        <v>1594.6092410733959</v>
      </c>
      <c r="N44" s="374">
        <v>2798.5392180838098</v>
      </c>
      <c r="O44" s="375">
        <v>0.2498994642857143</v>
      </c>
      <c r="P44" s="305"/>
      <c r="Q44" s="376">
        <v>8.5714285714285715E-2</v>
      </c>
      <c r="R44" s="377">
        <v>959.885171451254</v>
      </c>
      <c r="S44" s="378">
        <v>3.8249999999999997</v>
      </c>
      <c r="T44" s="374">
        <v>3671.5607808010463</v>
      </c>
      <c r="U44" s="399">
        <v>0.32785714285714285</v>
      </c>
      <c r="V44" s="274"/>
      <c r="W44" s="379">
        <v>6.4311566071428574</v>
      </c>
      <c r="X44" s="380">
        <f t="shared" si="4"/>
        <v>82299.511101607146</v>
      </c>
      <c r="Y44" s="162"/>
    </row>
    <row r="45" spans="1:25" ht="14.5" x14ac:dyDescent="0.35">
      <c r="A45" s="274">
        <v>3403</v>
      </c>
      <c r="B45" s="365" t="s">
        <v>413</v>
      </c>
      <c r="C45" s="366" t="s">
        <v>317</v>
      </c>
      <c r="D45" s="367"/>
      <c r="E45" s="368">
        <v>2520</v>
      </c>
      <c r="F45" s="368">
        <v>3120</v>
      </c>
      <c r="G45" s="368">
        <v>3705</v>
      </c>
      <c r="H45" s="369">
        <f t="shared" si="2"/>
        <v>9345</v>
      </c>
      <c r="I45" s="370">
        <v>5.8534000000000006</v>
      </c>
      <c r="J45" s="371">
        <f t="shared" si="3"/>
        <v>54700.023000000008</v>
      </c>
      <c r="K45" s="274"/>
      <c r="L45" s="372">
        <v>0.2111547619047619</v>
      </c>
      <c r="M45" s="373">
        <v>1726.7842865510872</v>
      </c>
      <c r="N45" s="374">
        <v>3030.5064228971582</v>
      </c>
      <c r="O45" s="375">
        <v>0.37057660714285717</v>
      </c>
      <c r="P45" s="305"/>
      <c r="Q45" s="376">
        <v>0.16051364365971107</v>
      </c>
      <c r="R45" s="377">
        <v>1312.6506603420289</v>
      </c>
      <c r="S45" s="378">
        <v>3.8249999999999997</v>
      </c>
      <c r="T45" s="374">
        <v>5020.8887758082601</v>
      </c>
      <c r="U45" s="399">
        <v>0.61396468699839479</v>
      </c>
      <c r="V45" s="274"/>
      <c r="W45" s="379">
        <v>6.8379412941412525</v>
      </c>
      <c r="X45" s="380">
        <f t="shared" si="4"/>
        <v>63900.561393750002</v>
      </c>
      <c r="Y45" s="162"/>
    </row>
    <row r="46" spans="1:25" ht="14.5" x14ac:dyDescent="0.35">
      <c r="A46" s="274">
        <v>2035</v>
      </c>
      <c r="B46" s="365" t="s">
        <v>414</v>
      </c>
      <c r="C46" s="366" t="s">
        <v>317</v>
      </c>
      <c r="D46" s="367"/>
      <c r="E46" s="381">
        <v>900</v>
      </c>
      <c r="F46" s="381">
        <v>975</v>
      </c>
      <c r="G46" s="381">
        <v>195</v>
      </c>
      <c r="H46" s="369">
        <f t="shared" si="2"/>
        <v>2070</v>
      </c>
      <c r="I46" s="370">
        <v>5.8534000000000006</v>
      </c>
      <c r="J46" s="382">
        <f t="shared" si="3"/>
        <v>12116.538</v>
      </c>
      <c r="K46" s="274"/>
      <c r="L46" s="372">
        <v>0.1404</v>
      </c>
      <c r="M46" s="383">
        <v>254.32869074258878</v>
      </c>
      <c r="N46" s="374">
        <v>446.34685225324336</v>
      </c>
      <c r="O46" s="375">
        <v>0.24640200000000004</v>
      </c>
      <c r="P46" s="305"/>
      <c r="Q46" s="376">
        <v>0.18115942028985507</v>
      </c>
      <c r="R46" s="377">
        <v>328.16266508550723</v>
      </c>
      <c r="S46" s="378">
        <v>3.8249999999999997</v>
      </c>
      <c r="T46" s="384">
        <v>1255.222193952065</v>
      </c>
      <c r="U46" s="399">
        <v>0.69293478260869557</v>
      </c>
      <c r="V46" s="274"/>
      <c r="W46" s="379">
        <v>6.7927367826086975</v>
      </c>
      <c r="X46" s="380">
        <f t="shared" si="4"/>
        <v>14060.965140000004</v>
      </c>
      <c r="Y46" s="162"/>
    </row>
    <row r="47" spans="1:25" ht="14.5" x14ac:dyDescent="0.35">
      <c r="A47" s="274">
        <v>3404</v>
      </c>
      <c r="B47" s="365" t="s">
        <v>415</v>
      </c>
      <c r="C47" s="366" t="s">
        <v>317</v>
      </c>
      <c r="D47" s="367"/>
      <c r="E47" s="368">
        <v>3060</v>
      </c>
      <c r="F47" s="368">
        <v>3705</v>
      </c>
      <c r="G47" s="368">
        <v>9165</v>
      </c>
      <c r="H47" s="369">
        <f t="shared" si="2"/>
        <v>15930</v>
      </c>
      <c r="I47" s="370">
        <v>5.8534000000000006</v>
      </c>
      <c r="J47" s="371">
        <f t="shared" si="3"/>
        <v>93244.662000000011</v>
      </c>
      <c r="K47" s="274"/>
      <c r="L47" s="372">
        <v>0.15167379679144383</v>
      </c>
      <c r="M47" s="373">
        <v>2114.3858150479346</v>
      </c>
      <c r="N47" s="374">
        <v>3710.7471054091252</v>
      </c>
      <c r="O47" s="375">
        <v>0.26618751336898389</v>
      </c>
      <c r="P47" s="305"/>
      <c r="Q47" s="376">
        <v>7.1770244821092274E-2</v>
      </c>
      <c r="R47" s="377">
        <v>1000.5023333126943</v>
      </c>
      <c r="S47" s="378">
        <v>3.8249999999999997</v>
      </c>
      <c r="T47" s="374">
        <v>3826.9214249210554</v>
      </c>
      <c r="U47" s="399">
        <v>0.27452118644067791</v>
      </c>
      <c r="V47" s="274"/>
      <c r="W47" s="379">
        <v>6.3941086998096628</v>
      </c>
      <c r="X47" s="380">
        <f t="shared" si="4"/>
        <v>101858.15158796794</v>
      </c>
      <c r="Y47" s="162"/>
    </row>
    <row r="48" spans="1:25" ht="14.5" x14ac:dyDescent="0.35">
      <c r="A48" s="274">
        <v>3306</v>
      </c>
      <c r="B48" s="365" t="s">
        <v>416</v>
      </c>
      <c r="C48" s="366" t="s">
        <v>317</v>
      </c>
      <c r="D48" s="367"/>
      <c r="E48" s="381">
        <v>540</v>
      </c>
      <c r="F48" s="381">
        <v>390</v>
      </c>
      <c r="G48" s="381">
        <v>0</v>
      </c>
      <c r="H48" s="369">
        <f t="shared" si="2"/>
        <v>930</v>
      </c>
      <c r="I48" s="370">
        <v>5.8534000000000006</v>
      </c>
      <c r="J48" s="382">
        <f t="shared" si="3"/>
        <v>5443.6620000000003</v>
      </c>
      <c r="K48" s="274"/>
      <c r="L48" s="372">
        <v>0.18129166666666666</v>
      </c>
      <c r="M48" s="383">
        <v>147.54302809799435</v>
      </c>
      <c r="N48" s="374">
        <v>258.93801431198011</v>
      </c>
      <c r="O48" s="375">
        <v>0.31816687500000002</v>
      </c>
      <c r="P48" s="305"/>
      <c r="Q48" s="376">
        <v>8.8235294117647065E-2</v>
      </c>
      <c r="R48" s="377">
        <v>71.809712595181594</v>
      </c>
      <c r="S48" s="378">
        <v>3.8249999999999997</v>
      </c>
      <c r="T48" s="384">
        <v>274.67215067656957</v>
      </c>
      <c r="U48" s="399">
        <v>0.33749999999999997</v>
      </c>
      <c r="V48" s="274"/>
      <c r="W48" s="379">
        <v>6.5090668750000011</v>
      </c>
      <c r="X48" s="380">
        <f t="shared" si="4"/>
        <v>6053.4321937500008</v>
      </c>
      <c r="Y48" s="162"/>
    </row>
    <row r="49" spans="1:25" ht="14.5" x14ac:dyDescent="0.35">
      <c r="A49" s="274">
        <v>3400</v>
      </c>
      <c r="B49" s="365" t="s">
        <v>417</v>
      </c>
      <c r="C49" s="366" t="s">
        <v>317</v>
      </c>
      <c r="D49" s="367"/>
      <c r="E49" s="368">
        <v>2575</v>
      </c>
      <c r="F49" s="368">
        <v>3081</v>
      </c>
      <c r="G49" s="368">
        <v>6582</v>
      </c>
      <c r="H49" s="369">
        <f t="shared" si="2"/>
        <v>12238</v>
      </c>
      <c r="I49" s="370">
        <v>5.8534000000000006</v>
      </c>
      <c r="J49" s="371">
        <f t="shared" si="3"/>
        <v>71633.909200000009</v>
      </c>
      <c r="K49" s="274"/>
      <c r="L49" s="372">
        <v>0.14597802197802195</v>
      </c>
      <c r="M49" s="373">
        <v>1563.3485882075765</v>
      </c>
      <c r="N49" s="374">
        <v>2743.6767723042972</v>
      </c>
      <c r="O49" s="375">
        <v>0.25619142857142857</v>
      </c>
      <c r="P49" s="305"/>
      <c r="Q49" s="376">
        <v>3.0642261807484882E-2</v>
      </c>
      <c r="R49" s="377">
        <v>328.16266508550723</v>
      </c>
      <c r="S49" s="378">
        <v>3.8249999999999997</v>
      </c>
      <c r="T49" s="374">
        <v>1255.222193952065</v>
      </c>
      <c r="U49" s="399">
        <v>0.11720665141362967</v>
      </c>
      <c r="V49" s="274"/>
      <c r="W49" s="379">
        <v>6.2267980799850591</v>
      </c>
      <c r="X49" s="380">
        <f t="shared" si="4"/>
        <v>76203.554902857155</v>
      </c>
      <c r="Y49" s="162"/>
    </row>
    <row r="50" spans="1:25" ht="14.5" x14ac:dyDescent="0.35">
      <c r="A50" s="274">
        <v>2004</v>
      </c>
      <c r="B50" s="365" t="s">
        <v>418</v>
      </c>
      <c r="C50" s="366" t="s">
        <v>317</v>
      </c>
      <c r="D50" s="367"/>
      <c r="E50" s="368">
        <v>3824</v>
      </c>
      <c r="F50" s="368">
        <v>4095</v>
      </c>
      <c r="G50" s="368">
        <v>18660</v>
      </c>
      <c r="H50" s="369">
        <f t="shared" si="2"/>
        <v>26579</v>
      </c>
      <c r="I50" s="370">
        <v>5.8534000000000006</v>
      </c>
      <c r="J50" s="371">
        <f t="shared" si="3"/>
        <v>155577.51860000001</v>
      </c>
      <c r="K50" s="274"/>
      <c r="L50" s="372">
        <v>0.11451406926406926</v>
      </c>
      <c r="M50" s="373">
        <v>2663.5164729517537</v>
      </c>
      <c r="N50" s="374">
        <v>4674.4714100303281</v>
      </c>
      <c r="O50" s="375">
        <v>0.20097219155844157</v>
      </c>
      <c r="P50" s="305"/>
      <c r="Q50" s="376">
        <v>0</v>
      </c>
      <c r="R50" s="377">
        <v>0</v>
      </c>
      <c r="S50" s="378">
        <v>3.8249999999999997</v>
      </c>
      <c r="T50" s="374">
        <v>0</v>
      </c>
      <c r="U50" s="399">
        <v>0</v>
      </c>
      <c r="V50" s="274"/>
      <c r="W50" s="379">
        <v>6.0543721915584419</v>
      </c>
      <c r="X50" s="380">
        <f t="shared" si="4"/>
        <v>160919.15847943182</v>
      </c>
      <c r="Y50" s="162"/>
    </row>
    <row r="51" spans="1:25" ht="14.5" x14ac:dyDescent="0.35">
      <c r="A51" s="274">
        <v>2017</v>
      </c>
      <c r="B51" s="365" t="s">
        <v>419</v>
      </c>
      <c r="C51" s="366" t="s">
        <v>317</v>
      </c>
      <c r="D51" s="367"/>
      <c r="E51" s="381">
        <v>2160</v>
      </c>
      <c r="F51" s="381">
        <v>2535</v>
      </c>
      <c r="G51" s="381">
        <v>7335</v>
      </c>
      <c r="H51" s="369">
        <f t="shared" si="2"/>
        <v>12030</v>
      </c>
      <c r="I51" s="370">
        <v>5.8534000000000006</v>
      </c>
      <c r="J51" s="382">
        <f t="shared" si="3"/>
        <v>70416.402000000002</v>
      </c>
      <c r="K51" s="274"/>
      <c r="L51" s="372">
        <v>0.21036363636363636</v>
      </c>
      <c r="M51" s="383">
        <v>2214.5944088011152</v>
      </c>
      <c r="N51" s="374">
        <v>3886.6131874459575</v>
      </c>
      <c r="O51" s="375">
        <v>0.3691881818181818</v>
      </c>
      <c r="P51" s="305"/>
      <c r="Q51" s="376">
        <v>0.17857142857142858</v>
      </c>
      <c r="R51" s="377">
        <v>1879.9032671326913</v>
      </c>
      <c r="S51" s="378">
        <v>3.8249999999999997</v>
      </c>
      <c r="T51" s="384">
        <v>7190.6299967825435</v>
      </c>
      <c r="U51" s="399">
        <v>0.68303571428571419</v>
      </c>
      <c r="V51" s="274"/>
      <c r="W51" s="379">
        <v>6.9056238961038972</v>
      </c>
      <c r="X51" s="380">
        <f t="shared" si="4"/>
        <v>83074.655470129888</v>
      </c>
      <c r="Y51" s="162"/>
    </row>
    <row r="52" spans="1:25" ht="14.5" x14ac:dyDescent="0.35">
      <c r="A52" s="274">
        <v>2051</v>
      </c>
      <c r="B52" s="365" t="s">
        <v>420</v>
      </c>
      <c r="C52" s="366" t="s">
        <v>317</v>
      </c>
      <c r="D52" s="367"/>
      <c r="E52" s="368">
        <v>1260</v>
      </c>
      <c r="F52" s="368">
        <v>1170</v>
      </c>
      <c r="G52" s="368">
        <v>8580</v>
      </c>
      <c r="H52" s="369">
        <f t="shared" si="2"/>
        <v>11010</v>
      </c>
      <c r="I52" s="370">
        <v>5.8534000000000006</v>
      </c>
      <c r="J52" s="371">
        <f t="shared" si="3"/>
        <v>64445.934000000008</v>
      </c>
      <c r="K52" s="274"/>
      <c r="L52" s="372">
        <v>0.22035714285714286</v>
      </c>
      <c r="M52" s="373">
        <v>2123.1093062656332</v>
      </c>
      <c r="N52" s="374">
        <v>3726.0568324961864</v>
      </c>
      <c r="O52" s="375">
        <v>0.3867267857142857</v>
      </c>
      <c r="P52" s="305"/>
      <c r="Q52" s="376">
        <v>8.9315657094948653E-2</v>
      </c>
      <c r="R52" s="377">
        <v>860.54348098191861</v>
      </c>
      <c r="S52" s="378">
        <v>3.8249999999999997</v>
      </c>
      <c r="T52" s="374">
        <v>3291.5788147558383</v>
      </c>
      <c r="U52" s="399">
        <v>0.34163238838817855</v>
      </c>
      <c r="V52" s="274"/>
      <c r="W52" s="379">
        <v>6.5817591741024657</v>
      </c>
      <c r="X52" s="380">
        <f t="shared" si="4"/>
        <v>72465.168506868155</v>
      </c>
      <c r="Y52" s="162"/>
    </row>
    <row r="53" spans="1:25" ht="14.5" x14ac:dyDescent="0.35">
      <c r="A53" s="274">
        <v>2069</v>
      </c>
      <c r="B53" s="365" t="s">
        <v>421</v>
      </c>
      <c r="C53" s="366" t="s">
        <v>317</v>
      </c>
      <c r="D53" s="367"/>
      <c r="E53" s="381">
        <v>0</v>
      </c>
      <c r="F53" s="381">
        <v>0</v>
      </c>
      <c r="G53" s="381">
        <v>9750</v>
      </c>
      <c r="H53" s="369">
        <f t="shared" si="2"/>
        <v>9750</v>
      </c>
      <c r="I53" s="370">
        <v>5.8534000000000006</v>
      </c>
      <c r="J53" s="382">
        <f t="shared" si="3"/>
        <v>57070.650000000009</v>
      </c>
      <c r="K53" s="274"/>
      <c r="L53" s="372">
        <v>0.17158000000000001</v>
      </c>
      <c r="M53" s="383">
        <v>1463.9599019596546</v>
      </c>
      <c r="N53" s="374">
        <v>2569.2496279391939</v>
      </c>
      <c r="O53" s="375">
        <v>0.30112290000000003</v>
      </c>
      <c r="P53" s="305"/>
      <c r="Q53" s="376">
        <v>7.8431372549019607E-2</v>
      </c>
      <c r="R53" s="377">
        <v>669.19445429201471</v>
      </c>
      <c r="S53" s="378">
        <v>3.8249999999999997</v>
      </c>
      <c r="T53" s="384">
        <v>2559.6687876669562</v>
      </c>
      <c r="U53" s="399">
        <v>0.3</v>
      </c>
      <c r="V53" s="274"/>
      <c r="W53" s="379">
        <v>6.4545228999999997</v>
      </c>
      <c r="X53" s="380">
        <f t="shared" si="4"/>
        <v>62931.598274999997</v>
      </c>
      <c r="Y53" s="162"/>
    </row>
    <row r="54" spans="1:25" ht="14.5" x14ac:dyDescent="0.35">
      <c r="A54" s="274">
        <v>2074</v>
      </c>
      <c r="B54" s="365" t="s">
        <v>422</v>
      </c>
      <c r="C54" s="366" t="s">
        <v>317</v>
      </c>
      <c r="D54" s="367"/>
      <c r="E54" s="381">
        <v>4273</v>
      </c>
      <c r="F54" s="381">
        <v>5265</v>
      </c>
      <c r="G54" s="381">
        <v>12675</v>
      </c>
      <c r="H54" s="369">
        <f t="shared" si="2"/>
        <v>22213</v>
      </c>
      <c r="I54" s="370">
        <v>5.8534000000000006</v>
      </c>
      <c r="J54" s="382">
        <f t="shared" si="3"/>
        <v>130021.57420000002</v>
      </c>
      <c r="K54" s="387"/>
      <c r="L54" s="372">
        <v>0.13059226190476192</v>
      </c>
      <c r="M54" s="383">
        <v>2538.5315361041867</v>
      </c>
      <c r="N54" s="374">
        <v>4455.1228458628475</v>
      </c>
      <c r="O54" s="375">
        <v>0.22918941964285713</v>
      </c>
      <c r="P54" s="305"/>
      <c r="Q54" s="376">
        <v>3.2140892818345701E-2</v>
      </c>
      <c r="R54" s="377">
        <v>624.77415451627166</v>
      </c>
      <c r="S54" s="378">
        <v>3.8249999999999997</v>
      </c>
      <c r="T54" s="384">
        <v>2389.7611410247391</v>
      </c>
      <c r="U54" s="399">
        <v>0.1229389150301723</v>
      </c>
      <c r="V54" s="274"/>
      <c r="W54" s="379">
        <v>6.2055283346730299</v>
      </c>
      <c r="X54" s="380">
        <f t="shared" si="4"/>
        <v>137843.40089809202</v>
      </c>
      <c r="Y54" s="162"/>
    </row>
    <row r="55" spans="1:25" ht="14.5" x14ac:dyDescent="0.35">
      <c r="A55" s="274">
        <v>2049</v>
      </c>
      <c r="B55" s="365" t="s">
        <v>423</v>
      </c>
      <c r="C55" s="366" t="s">
        <v>317</v>
      </c>
      <c r="D55" s="367"/>
      <c r="E55" s="368">
        <v>720</v>
      </c>
      <c r="F55" s="368">
        <v>1365</v>
      </c>
      <c r="G55" s="368">
        <v>12600</v>
      </c>
      <c r="H55" s="369">
        <f t="shared" si="2"/>
        <v>14685</v>
      </c>
      <c r="I55" s="370">
        <v>5.8534000000000006</v>
      </c>
      <c r="J55" s="371">
        <f t="shared" si="3"/>
        <v>85957.179000000004</v>
      </c>
      <c r="K55" s="274"/>
      <c r="L55" s="372">
        <v>0.11449999999999999</v>
      </c>
      <c r="M55" s="373">
        <v>1471.4223209636991</v>
      </c>
      <c r="N55" s="374">
        <v>2582.346173291292</v>
      </c>
      <c r="O55" s="375">
        <v>0.2009475</v>
      </c>
      <c r="P55" s="305"/>
      <c r="Q55" s="376">
        <v>2.3917153847825612E-2</v>
      </c>
      <c r="R55" s="377">
        <v>307.35575568221338</v>
      </c>
      <c r="S55" s="378">
        <v>3.8249999999999997</v>
      </c>
      <c r="T55" s="374">
        <v>1175.6357654844662</v>
      </c>
      <c r="U55" s="399">
        <v>9.1483113467932975E-2</v>
      </c>
      <c r="V55" s="274"/>
      <c r="W55" s="379">
        <v>6.1458306134679335</v>
      </c>
      <c r="X55" s="380">
        <f t="shared" si="4"/>
        <v>90251.522558776604</v>
      </c>
      <c r="Y55" s="162"/>
    </row>
    <row r="56" spans="1:25" ht="14.5" x14ac:dyDescent="0.35">
      <c r="A56" s="274">
        <v>2082</v>
      </c>
      <c r="B56" s="365" t="s">
        <v>424</v>
      </c>
      <c r="C56" s="366" t="s">
        <v>317</v>
      </c>
      <c r="D56" s="367"/>
      <c r="E56" s="368">
        <v>1620</v>
      </c>
      <c r="F56" s="368">
        <v>1755</v>
      </c>
      <c r="G56" s="368">
        <v>20475</v>
      </c>
      <c r="H56" s="369">
        <f t="shared" si="2"/>
        <v>23850</v>
      </c>
      <c r="I56" s="370">
        <v>5.8534000000000006</v>
      </c>
      <c r="J56" s="371">
        <f t="shared" si="3"/>
        <v>139603.59000000003</v>
      </c>
      <c r="K56" s="274"/>
      <c r="L56" s="372">
        <v>0.14949305555555553</v>
      </c>
      <c r="M56" s="373">
        <v>3120.0913136556069</v>
      </c>
      <c r="N56" s="374">
        <v>5475.7602554655905</v>
      </c>
      <c r="O56" s="375">
        <v>0.26236031249999997</v>
      </c>
      <c r="P56" s="305"/>
      <c r="Q56" s="376">
        <v>7.6718328840970351E-2</v>
      </c>
      <c r="R56" s="377">
        <v>1601.1994037136431</v>
      </c>
      <c r="S56" s="378">
        <v>3.8249999999999997</v>
      </c>
      <c r="T56" s="374">
        <v>6124.5877192046846</v>
      </c>
      <c r="U56" s="399">
        <v>0.29344760781671159</v>
      </c>
      <c r="V56" s="274"/>
      <c r="W56" s="379">
        <v>6.409207920316712</v>
      </c>
      <c r="X56" s="380">
        <f t="shared" si="4"/>
        <v>152859.60889955357</v>
      </c>
      <c r="Y56" s="162"/>
    </row>
    <row r="57" spans="1:25" s="388" customFormat="1" ht="14.5" x14ac:dyDescent="0.35">
      <c r="A57" s="274">
        <v>5203</v>
      </c>
      <c r="B57" s="365" t="s">
        <v>425</v>
      </c>
      <c r="C57" s="366" t="s">
        <v>317</v>
      </c>
      <c r="D57" s="367"/>
      <c r="E57" s="381">
        <v>0</v>
      </c>
      <c r="F57" s="381">
        <v>0</v>
      </c>
      <c r="G57" s="381">
        <v>13710</v>
      </c>
      <c r="H57" s="369">
        <f t="shared" si="2"/>
        <v>13710</v>
      </c>
      <c r="I57" s="370">
        <v>5.8534000000000006</v>
      </c>
      <c r="J57" s="382">
        <f t="shared" si="3"/>
        <v>80250.114000000001</v>
      </c>
      <c r="K57" s="274"/>
      <c r="L57" s="372">
        <v>0.15696621621621626</v>
      </c>
      <c r="M57" s="383">
        <v>1883.2221193399184</v>
      </c>
      <c r="N57" s="374">
        <v>3305.0548194415569</v>
      </c>
      <c r="O57" s="375">
        <v>0.27547570945945954</v>
      </c>
      <c r="P57" s="305"/>
      <c r="Q57" s="376">
        <v>5.9054058901603472E-2</v>
      </c>
      <c r="R57" s="377">
        <v>708.50857363543116</v>
      </c>
      <c r="S57" s="378">
        <v>3.8249999999999997</v>
      </c>
      <c r="T57" s="384">
        <v>2710.0452941555241</v>
      </c>
      <c r="U57" s="399">
        <v>0.22588177529863326</v>
      </c>
      <c r="V57" s="274"/>
      <c r="W57" s="379">
        <v>6.3547574847580934</v>
      </c>
      <c r="X57" s="380">
        <f t="shared" si="4"/>
        <v>87123.725116033456</v>
      </c>
      <c r="Y57" s="162"/>
    </row>
    <row r="58" spans="1:25" s="388" customFormat="1" ht="14.5" x14ac:dyDescent="0.35">
      <c r="A58" s="274">
        <v>2061</v>
      </c>
      <c r="B58" s="365" t="s">
        <v>426</v>
      </c>
      <c r="C58" s="366" t="s">
        <v>317</v>
      </c>
      <c r="D58" s="367"/>
      <c r="E58" s="386">
        <v>0</v>
      </c>
      <c r="F58" s="381">
        <v>0</v>
      </c>
      <c r="G58" s="381">
        <v>5505</v>
      </c>
      <c r="H58" s="369">
        <f t="shared" si="2"/>
        <v>5505</v>
      </c>
      <c r="I58" s="370">
        <v>5.8534000000000006</v>
      </c>
      <c r="J58" s="382">
        <f t="shared" si="3"/>
        <v>32222.967000000004</v>
      </c>
      <c r="K58" s="274"/>
      <c r="L58" s="372">
        <v>0.15611111111111112</v>
      </c>
      <c r="M58" s="383">
        <v>752.05402582829117</v>
      </c>
      <c r="N58" s="374">
        <v>1319.8548153286511</v>
      </c>
      <c r="O58" s="375">
        <v>0.27397500000000002</v>
      </c>
      <c r="P58" s="305"/>
      <c r="Q58" s="376">
        <v>0.11764705882352941</v>
      </c>
      <c r="R58" s="377">
        <v>566.75622628885242</v>
      </c>
      <c r="S58" s="378">
        <v>3.8249999999999997</v>
      </c>
      <c r="T58" s="384">
        <v>2167.8425655548604</v>
      </c>
      <c r="U58" s="399">
        <v>0.44999999999999996</v>
      </c>
      <c r="V58" s="274"/>
      <c r="W58" s="379">
        <v>6.5773750000000009</v>
      </c>
      <c r="X58" s="380">
        <f t="shared" si="4"/>
        <v>36208.449375000004</v>
      </c>
      <c r="Y58" s="162"/>
    </row>
    <row r="59" spans="1:25" s="388" customFormat="1" ht="14.5" x14ac:dyDescent="0.35">
      <c r="A59" s="274">
        <v>1000</v>
      </c>
      <c r="B59" s="365" t="s">
        <v>427</v>
      </c>
      <c r="C59" s="366" t="s">
        <v>317</v>
      </c>
      <c r="D59" s="367"/>
      <c r="E59" s="427">
        <v>5568</v>
      </c>
      <c r="F59" s="427">
        <v>7414</v>
      </c>
      <c r="G59" s="427">
        <v>4284</v>
      </c>
      <c r="H59" s="369">
        <f t="shared" si="2"/>
        <v>17266</v>
      </c>
      <c r="I59" s="370">
        <v>5.8534000000000006</v>
      </c>
      <c r="J59" s="428">
        <f t="shared" si="3"/>
        <v>101064.80440000001</v>
      </c>
      <c r="K59" s="274"/>
      <c r="L59" s="420">
        <v>0.18382758620689699</v>
      </c>
      <c r="M59" s="429">
        <v>2777.540009496844</v>
      </c>
      <c r="N59" s="421">
        <v>4874.5827166669615</v>
      </c>
      <c r="O59" s="375">
        <v>0.32261741379310427</v>
      </c>
      <c r="P59" s="301"/>
      <c r="Q59" s="422">
        <v>0.12805513726398704</v>
      </c>
      <c r="R59" s="423">
        <v>1934.8470733441507</v>
      </c>
      <c r="S59" s="378">
        <v>3.8249999999999997</v>
      </c>
      <c r="T59" s="421">
        <v>7400.7900555413762</v>
      </c>
      <c r="U59" s="425">
        <v>0.48981090003475042</v>
      </c>
      <c r="V59" s="274"/>
      <c r="W59" s="379">
        <v>6.6658283138278556</v>
      </c>
      <c r="X59" s="430">
        <f t="shared" si="4"/>
        <v>115092.19166655175</v>
      </c>
      <c r="Y59" s="162"/>
    </row>
    <row r="60" spans="1:25" s="388" customFormat="1" ht="14.5" x14ac:dyDescent="0.35">
      <c r="A60" s="274">
        <v>2064</v>
      </c>
      <c r="B60" s="365" t="s">
        <v>428</v>
      </c>
      <c r="C60" s="366" t="s">
        <v>317</v>
      </c>
      <c r="D60" s="367"/>
      <c r="E60" s="381">
        <v>0</v>
      </c>
      <c r="F60" s="381">
        <v>0</v>
      </c>
      <c r="G60" s="381">
        <v>9615</v>
      </c>
      <c r="H60" s="369">
        <f t="shared" si="2"/>
        <v>9615</v>
      </c>
      <c r="I60" s="370">
        <v>5.8534000000000006</v>
      </c>
      <c r="J60" s="382">
        <f t="shared" si="3"/>
        <v>56280.441000000006</v>
      </c>
      <c r="K60" s="274"/>
      <c r="L60" s="372">
        <v>0.19794791666666672</v>
      </c>
      <c r="M60" s="383">
        <v>1665.5517312005638</v>
      </c>
      <c r="N60" s="374">
        <v>2923.0432882569899</v>
      </c>
      <c r="O60" s="375">
        <v>0.34739859375000015</v>
      </c>
      <c r="P60" s="305"/>
      <c r="Q60" s="376">
        <v>0.22167511700468018</v>
      </c>
      <c r="R60" s="377">
        <v>1865.1945476797516</v>
      </c>
      <c r="S60" s="378">
        <v>3.8249999999999997</v>
      </c>
      <c r="T60" s="384">
        <v>7134.3691448750496</v>
      </c>
      <c r="U60" s="399">
        <v>0.84790732254290169</v>
      </c>
      <c r="V60" s="274"/>
      <c r="W60" s="379">
        <v>7.048705916292902</v>
      </c>
      <c r="X60" s="380">
        <f t="shared" si="4"/>
        <v>67773.307385156251</v>
      </c>
      <c r="Y60" s="162"/>
    </row>
    <row r="61" spans="1:25" s="388" customFormat="1" ht="14.5" x14ac:dyDescent="0.35">
      <c r="A61" s="274">
        <v>2065</v>
      </c>
      <c r="B61" s="365" t="s">
        <v>429</v>
      </c>
      <c r="C61" s="366" t="s">
        <v>317</v>
      </c>
      <c r="D61" s="367"/>
      <c r="E61" s="381">
        <v>0</v>
      </c>
      <c r="F61" s="381">
        <v>0</v>
      </c>
      <c r="G61" s="381">
        <v>5070</v>
      </c>
      <c r="H61" s="369">
        <f t="shared" si="2"/>
        <v>5070</v>
      </c>
      <c r="I61" s="370">
        <v>5.8534000000000006</v>
      </c>
      <c r="J61" s="382">
        <f t="shared" si="3"/>
        <v>29676.738000000005</v>
      </c>
      <c r="K61" s="274"/>
      <c r="L61" s="372">
        <v>0.13292307692307692</v>
      </c>
      <c r="M61" s="383">
        <v>589.74768867846683</v>
      </c>
      <c r="N61" s="374">
        <v>1035.0071936307093</v>
      </c>
      <c r="O61" s="375">
        <v>0.23328000000000002</v>
      </c>
      <c r="P61" s="305"/>
      <c r="Q61" s="376">
        <v>3.8461538461538464E-2</v>
      </c>
      <c r="R61" s="377">
        <v>170.64458584446379</v>
      </c>
      <c r="S61" s="378">
        <v>3.8249999999999997</v>
      </c>
      <c r="T61" s="384">
        <v>652.71554085507398</v>
      </c>
      <c r="U61" s="399">
        <v>0.14711538461538462</v>
      </c>
      <c r="V61" s="274"/>
      <c r="W61" s="379">
        <v>6.2337953846153855</v>
      </c>
      <c r="X61" s="380">
        <f t="shared" si="4"/>
        <v>31605.342600000004</v>
      </c>
      <c r="Y61" s="162"/>
    </row>
    <row r="62" spans="1:25" x14ac:dyDescent="0.25">
      <c r="X62" s="162"/>
    </row>
  </sheetData>
  <autoFilter ref="A9:X61" xr:uid="{926E9ABE-2844-43B1-84C4-20F79C3E4C3D}"/>
  <conditionalFormatting sqref="A9:A56">
    <cfRule type="duplicateValues" dxfId="3" priority="2"/>
  </conditionalFormatting>
  <conditionalFormatting sqref="A57:A61">
    <cfRule type="duplicateValues" dxfId="2"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F30"/>
  <sheetViews>
    <sheetView workbookViewId="0">
      <selection activeCell="C15" sqref="C15"/>
    </sheetView>
  </sheetViews>
  <sheetFormatPr defaultColWidth="12.7265625" defaultRowHeight="12.5" x14ac:dyDescent="0.25"/>
  <cols>
    <col min="1" max="1" width="19.26953125" style="13" customWidth="1"/>
    <col min="2" max="2" width="12.7265625" style="13" customWidth="1"/>
    <col min="3" max="3" width="14.7265625" style="13" customWidth="1"/>
    <col min="4" max="4" width="12.7265625" style="13" customWidth="1"/>
    <col min="5" max="5" width="4.7265625" style="13" customWidth="1"/>
    <col min="6" max="6" width="20.7265625" style="13" customWidth="1"/>
    <col min="7" max="16384" width="12.7265625" style="13"/>
  </cols>
  <sheetData>
    <row r="1" spans="1:6" ht="18" x14ac:dyDescent="0.4">
      <c r="A1" s="14" t="s">
        <v>430</v>
      </c>
      <c r="B1" s="29"/>
    </row>
    <row r="2" spans="1:6" ht="13" x14ac:dyDescent="0.3">
      <c r="A2" s="15"/>
      <c r="B2" s="19"/>
    </row>
    <row r="4" spans="1:6" ht="13" x14ac:dyDescent="0.3">
      <c r="F4" s="15" t="s">
        <v>431</v>
      </c>
    </row>
    <row r="5" spans="1:6" ht="13" x14ac:dyDescent="0.3">
      <c r="A5" s="15"/>
      <c r="F5" s="15" t="s">
        <v>432</v>
      </c>
    </row>
    <row r="6" spans="1:6" ht="13" x14ac:dyDescent="0.3">
      <c r="A6" s="15"/>
      <c r="C6" s="15" t="s">
        <v>433</v>
      </c>
      <c r="D6" s="15" t="s">
        <v>433</v>
      </c>
      <c r="F6" s="15" t="s">
        <v>434</v>
      </c>
    </row>
    <row r="7" spans="1:6" x14ac:dyDescent="0.25">
      <c r="C7" s="13" t="s">
        <v>435</v>
      </c>
      <c r="D7" s="13" t="s">
        <v>435</v>
      </c>
      <c r="F7" s="13" t="s">
        <v>436</v>
      </c>
    </row>
    <row r="8" spans="1:6" x14ac:dyDescent="0.25">
      <c r="C8" s="13" t="s">
        <v>437</v>
      </c>
      <c r="D8" s="13" t="s">
        <v>438</v>
      </c>
    </row>
    <row r="9" spans="1:6" ht="15.5" x14ac:dyDescent="0.35">
      <c r="A9" s="13" t="s">
        <v>439</v>
      </c>
      <c r="C9" s="17"/>
      <c r="D9" s="17"/>
      <c r="E9" s="17"/>
      <c r="F9" s="405">
        <v>383628</v>
      </c>
    </row>
    <row r="10" spans="1:6" ht="13.5" customHeight="1" x14ac:dyDescent="0.25">
      <c r="C10" s="17"/>
      <c r="D10" s="17"/>
      <c r="E10" s="17"/>
      <c r="F10" s="17"/>
    </row>
    <row r="11" spans="1:6" ht="13.5" customHeight="1" x14ac:dyDescent="0.25">
      <c r="A11" s="16" t="s">
        <v>433</v>
      </c>
      <c r="C11" s="17"/>
      <c r="D11" s="17"/>
      <c r="E11" s="17"/>
      <c r="F11" s="17"/>
    </row>
    <row r="12" spans="1:6" ht="13.5" customHeight="1" x14ac:dyDescent="0.25">
      <c r="A12" s="13" t="s">
        <v>440</v>
      </c>
      <c r="C12" s="117">
        <f>'EY Universal 15'!$I$44</f>
        <v>5.8534000000000006</v>
      </c>
      <c r="D12" s="117">
        <f>'EY Additional 15'!$I$59</f>
        <v>5.8534000000000006</v>
      </c>
      <c r="E12" s="17"/>
      <c r="F12" s="17"/>
    </row>
    <row r="13" spans="1:6" ht="13.5" customHeight="1" x14ac:dyDescent="0.25">
      <c r="A13" s="13" t="s">
        <v>441</v>
      </c>
      <c r="C13" s="17">
        <f>'EY Universal 15'!$O$44</f>
        <v>0.32261741379310421</v>
      </c>
      <c r="D13" s="17">
        <f>'EY Additional 15'!$O$59</f>
        <v>0.32261741379310427</v>
      </c>
      <c r="E13" s="17"/>
      <c r="F13" s="17"/>
    </row>
    <row r="14" spans="1:6" ht="13.5" customHeight="1" x14ac:dyDescent="0.25">
      <c r="A14" s="13" t="s">
        <v>442</v>
      </c>
      <c r="C14" s="17">
        <f>'EY Universal 15'!$V$44</f>
        <v>0.96899999999999986</v>
      </c>
      <c r="D14" s="17">
        <f>'EY Additional 15'!$U$59</f>
        <v>0.48981090003475042</v>
      </c>
      <c r="E14" s="17"/>
      <c r="F14" s="17"/>
    </row>
    <row r="15" spans="1:6" ht="13" thickBot="1" x14ac:dyDescent="0.3">
      <c r="A15" s="13" t="s">
        <v>443</v>
      </c>
      <c r="C15" s="171">
        <f>SUM(C12:C14)</f>
        <v>7.145017413793104</v>
      </c>
      <c r="D15" s="171">
        <f>SUM(D12:D14)</f>
        <v>6.6658283138278547</v>
      </c>
      <c r="E15" s="17"/>
      <c r="F15" s="17"/>
    </row>
    <row r="16" spans="1:6" ht="13" thickBot="1" x14ac:dyDescent="0.3">
      <c r="C16" s="17"/>
      <c r="D16" s="17"/>
      <c r="E16" s="17"/>
      <c r="F16" s="17"/>
    </row>
    <row r="17" spans="1:6" ht="15" thickBot="1" x14ac:dyDescent="0.4">
      <c r="A17" s="13" t="s">
        <v>444</v>
      </c>
      <c r="C17" s="369">
        <f>'EY Universal 15'!$H$44</f>
        <v>82170</v>
      </c>
      <c r="D17" s="170"/>
      <c r="E17" s="17"/>
      <c r="F17" s="17">
        <f>C17*C15</f>
        <v>587106.08089137939</v>
      </c>
    </row>
    <row r="18" spans="1:6" ht="13" thickBot="1" x14ac:dyDescent="0.3">
      <c r="A18" s="13" t="s">
        <v>445</v>
      </c>
      <c r="C18" s="170"/>
      <c r="D18" s="18">
        <f>'EY Additional 15'!$H$59</f>
        <v>17266</v>
      </c>
      <c r="E18" s="17"/>
      <c r="F18" s="17">
        <f>D18*D15</f>
        <v>115092.19166655173</v>
      </c>
    </row>
    <row r="20" spans="1:6" x14ac:dyDescent="0.25">
      <c r="A20" s="13" t="s">
        <v>446</v>
      </c>
    </row>
    <row r="21" spans="1:6" ht="13" thickBot="1" x14ac:dyDescent="0.3"/>
    <row r="22" spans="1:6" ht="16" thickBot="1" x14ac:dyDescent="0.4">
      <c r="A22" s="21" t="s">
        <v>447</v>
      </c>
      <c r="B22" s="22"/>
      <c r="C22" s="22"/>
      <c r="D22" s="22"/>
      <c r="E22" s="22"/>
      <c r="F22" s="20">
        <f>F9+F17+F18</f>
        <v>1085826.272557931</v>
      </c>
    </row>
    <row r="23" spans="1:6" x14ac:dyDescent="0.25">
      <c r="F23" s="17"/>
    </row>
    <row r="24" spans="1:6" ht="13" thickBot="1" x14ac:dyDescent="0.3"/>
    <row r="25" spans="1:6" ht="13.5" thickBot="1" x14ac:dyDescent="0.35">
      <c r="A25" s="15" t="s">
        <v>448</v>
      </c>
      <c r="D25" s="53"/>
    </row>
    <row r="30" spans="1:6" x14ac:dyDescent="0.25">
      <c r="A30" s="17"/>
    </row>
  </sheetData>
  <sheetProtection algorithmName="SHA-512" hashValue="A213Ijp8H/xJDJHa+JkHPSVcX8xVjTlz56cqRBB8gDZwkzoAY/bIxyXxMaupxmwgKHAhW+Y7q/Bgq4Qiq0oHxQ==" saltValue="dleSRCb8nuHt+RLgeg9Y8g==" spinCount="100000" sheet="1" objects="1" scenarios="1"/>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73"/>
  <sheetViews>
    <sheetView workbookViewId="0">
      <selection activeCell="E3" sqref="E3"/>
    </sheetView>
  </sheetViews>
  <sheetFormatPr defaultColWidth="9.26953125" defaultRowHeight="12.5" x14ac:dyDescent="0.25"/>
  <cols>
    <col min="1" max="1" width="15.54296875" style="32" bestFit="1" customWidth="1"/>
    <col min="2" max="2" width="35.7265625" style="32" bestFit="1" customWidth="1"/>
    <col min="3" max="5" width="15.453125" style="81" customWidth="1"/>
    <col min="6" max="6" width="15.26953125" style="81" customWidth="1"/>
    <col min="7" max="14" width="9.26953125" style="32"/>
    <col min="15" max="15" width="0" style="32" hidden="1" customWidth="1"/>
    <col min="16" max="16" width="56" style="32" hidden="1" customWidth="1"/>
    <col min="17" max="17" width="9.26953125" style="32" hidden="1" customWidth="1"/>
    <col min="18" max="16384" width="9.26953125" style="32"/>
  </cols>
  <sheetData>
    <row r="1" spans="1:17" ht="13" x14ac:dyDescent="0.3">
      <c r="A1" s="80" t="s">
        <v>449</v>
      </c>
    </row>
    <row r="2" spans="1:17" ht="13" thickBot="1" x14ac:dyDescent="0.3"/>
    <row r="3" spans="1:17" ht="13.5" thickBot="1" x14ac:dyDescent="0.35">
      <c r="A3" s="3" t="s">
        <v>29</v>
      </c>
      <c r="B3" s="446" t="s">
        <v>38</v>
      </c>
      <c r="P3" s="32" t="s">
        <v>38</v>
      </c>
      <c r="Q3" s="32">
        <v>2001</v>
      </c>
    </row>
    <row r="4" spans="1:17" ht="13.5" thickBot="1" x14ac:dyDescent="0.35">
      <c r="A4" s="3" t="s">
        <v>31</v>
      </c>
      <c r="B4" s="7">
        <f>VLOOKUP(B3,P:Q,2,0)</f>
        <v>2001</v>
      </c>
      <c r="P4" s="32" t="s">
        <v>44</v>
      </c>
      <c r="Q4" s="32">
        <v>3401</v>
      </c>
    </row>
    <row r="5" spans="1:17" ht="13" thickBot="1" x14ac:dyDescent="0.3">
      <c r="P5" s="32" t="s">
        <v>46</v>
      </c>
      <c r="Q5" s="32">
        <v>2003</v>
      </c>
    </row>
    <row r="6" spans="1:17" s="3" customFormat="1" ht="13" x14ac:dyDescent="0.3">
      <c r="A6" s="89"/>
      <c r="B6" s="96" t="s">
        <v>450</v>
      </c>
      <c r="C6" s="456" t="s">
        <v>451</v>
      </c>
      <c r="D6" s="456"/>
      <c r="E6" s="456"/>
      <c r="F6" s="97"/>
      <c r="P6" s="3" t="s">
        <v>47</v>
      </c>
      <c r="Q6" s="3">
        <v>2002</v>
      </c>
    </row>
    <row r="7" spans="1:17" ht="13.5" thickBot="1" x14ac:dyDescent="0.35">
      <c r="B7" s="110"/>
      <c r="C7" s="111" t="s">
        <v>452</v>
      </c>
      <c r="D7" s="112" t="s">
        <v>453</v>
      </c>
      <c r="E7" s="112" t="s">
        <v>454</v>
      </c>
      <c r="F7" s="113" t="s">
        <v>112</v>
      </c>
      <c r="P7" s="32" t="s">
        <v>49</v>
      </c>
      <c r="Q7" s="32">
        <v>3300</v>
      </c>
    </row>
    <row r="8" spans="1:17" ht="13" x14ac:dyDescent="0.3">
      <c r="B8" s="96" t="s">
        <v>455</v>
      </c>
      <c r="C8" s="114">
        <f>VLOOKUP(B4,'EY Universal 15'!A:Y,6,0)</f>
        <v>11700</v>
      </c>
      <c r="D8" s="114">
        <f>VLOOKUP(B4,'EY Universal 15'!A:Y,7,0)</f>
        <v>8970</v>
      </c>
      <c r="E8" s="114">
        <f>VLOOKUP(B4,'EY Universal 15'!A:Y,5,0)</f>
        <v>13094</v>
      </c>
      <c r="F8" s="115">
        <f>SUM(C8:E8)</f>
        <v>33764</v>
      </c>
      <c r="P8" s="32" t="s">
        <v>51</v>
      </c>
      <c r="Q8" s="32">
        <v>5206</v>
      </c>
    </row>
    <row r="9" spans="1:17" ht="13" x14ac:dyDescent="0.3">
      <c r="B9" s="99" t="s">
        <v>456</v>
      </c>
      <c r="C9" s="85">
        <f>C8/195</f>
        <v>60</v>
      </c>
      <c r="D9" s="90">
        <f>D8/195</f>
        <v>46</v>
      </c>
      <c r="E9" s="90">
        <f>E8/180</f>
        <v>72.74444444444444</v>
      </c>
      <c r="F9" s="98"/>
      <c r="P9" s="32" t="s">
        <v>53</v>
      </c>
      <c r="Q9" s="32">
        <v>2084</v>
      </c>
    </row>
    <row r="10" spans="1:17" ht="13" x14ac:dyDescent="0.3">
      <c r="B10" s="99" t="s">
        <v>311</v>
      </c>
      <c r="C10" s="86">
        <f>VLOOKUP(B4,'EY Universal 15'!A:Y,24,0)</f>
        <v>6.3490534782608714</v>
      </c>
      <c r="D10" s="86">
        <f>C10</f>
        <v>6.3490534782608714</v>
      </c>
      <c r="E10" s="86">
        <f>C10</f>
        <v>6.3490534782608714</v>
      </c>
      <c r="F10" s="98"/>
      <c r="P10" s="32" t="s">
        <v>55</v>
      </c>
      <c r="Q10" s="32">
        <v>2010</v>
      </c>
    </row>
    <row r="11" spans="1:17" ht="13" x14ac:dyDescent="0.3">
      <c r="B11" s="99"/>
      <c r="C11" s="84"/>
      <c r="D11" s="83"/>
      <c r="E11" s="83"/>
      <c r="F11" s="98"/>
      <c r="P11" s="32" t="s">
        <v>57</v>
      </c>
      <c r="Q11" s="32">
        <v>2012</v>
      </c>
    </row>
    <row r="12" spans="1:17" ht="13" x14ac:dyDescent="0.3">
      <c r="B12" s="99" t="s">
        <v>457</v>
      </c>
      <c r="C12" s="109">
        <f>C8*C10</f>
        <v>74283.9256956522</v>
      </c>
      <c r="D12" s="107">
        <f t="shared" ref="D12:E12" si="0">D8*D10</f>
        <v>56951.009700000017</v>
      </c>
      <c r="E12" s="107">
        <f t="shared" si="0"/>
        <v>83134.506244347853</v>
      </c>
      <c r="F12" s="108">
        <f>SUM(C12:E12)</f>
        <v>214369.44164000009</v>
      </c>
      <c r="P12" s="32" t="s">
        <v>61</v>
      </c>
      <c r="Q12" s="32">
        <v>3410</v>
      </c>
    </row>
    <row r="13" spans="1:17" ht="13.5" thickBot="1" x14ac:dyDescent="0.35">
      <c r="B13" s="99"/>
      <c r="C13" s="91"/>
      <c r="D13" s="94"/>
      <c r="E13" s="94"/>
      <c r="F13" s="98"/>
      <c r="P13" s="32" t="s">
        <v>63</v>
      </c>
      <c r="Q13" s="32">
        <v>2078</v>
      </c>
    </row>
    <row r="14" spans="1:17" ht="13.5" thickBot="1" x14ac:dyDescent="0.35">
      <c r="B14" s="101" t="s">
        <v>458</v>
      </c>
      <c r="C14" s="457"/>
      <c r="D14" s="458"/>
      <c r="E14" s="458"/>
      <c r="F14" s="102"/>
      <c r="P14" s="32" t="s">
        <v>69</v>
      </c>
      <c r="Q14" s="32">
        <v>3307</v>
      </c>
    </row>
    <row r="15" spans="1:17" ht="13" x14ac:dyDescent="0.3">
      <c r="B15" s="99" t="s">
        <v>459</v>
      </c>
      <c r="C15" s="92">
        <f>C14*15*13</f>
        <v>0</v>
      </c>
      <c r="D15" s="92">
        <f t="shared" ref="D15" si="1">D14*15*13</f>
        <v>0</v>
      </c>
      <c r="E15" s="92">
        <f>E14*15*12</f>
        <v>0</v>
      </c>
      <c r="F15" s="100">
        <f>SUM(C15:E15)</f>
        <v>0</v>
      </c>
      <c r="P15" s="13" t="s">
        <v>71</v>
      </c>
      <c r="Q15" s="32">
        <v>2019</v>
      </c>
    </row>
    <row r="16" spans="1:17" ht="13" x14ac:dyDescent="0.3">
      <c r="B16" s="99" t="s">
        <v>311</v>
      </c>
      <c r="C16" s="86">
        <f>C10</f>
        <v>6.3490534782608714</v>
      </c>
      <c r="D16" s="87">
        <f>C10</f>
        <v>6.3490534782608714</v>
      </c>
      <c r="E16" s="87">
        <f>C10</f>
        <v>6.3490534782608714</v>
      </c>
      <c r="F16" s="98"/>
      <c r="P16" s="32" t="s">
        <v>73</v>
      </c>
      <c r="Q16" s="32">
        <v>2018</v>
      </c>
    </row>
    <row r="17" spans="2:17" ht="13" x14ac:dyDescent="0.3">
      <c r="B17" s="99"/>
      <c r="C17" s="84"/>
      <c r="D17" s="83"/>
      <c r="E17" s="83"/>
      <c r="F17" s="98"/>
      <c r="P17" s="32" t="s">
        <v>75</v>
      </c>
      <c r="Q17" s="32">
        <v>2076</v>
      </c>
    </row>
    <row r="18" spans="2:17" ht="13" x14ac:dyDescent="0.3">
      <c r="B18" s="99" t="s">
        <v>460</v>
      </c>
      <c r="C18" s="109">
        <f>C15*C16</f>
        <v>0</v>
      </c>
      <c r="D18" s="109">
        <f t="shared" ref="D18:E18" si="2">D15*D16</f>
        <v>0</v>
      </c>
      <c r="E18" s="109">
        <f t="shared" si="2"/>
        <v>0</v>
      </c>
      <c r="F18" s="108">
        <f>SUM(C18:E18)</f>
        <v>0</v>
      </c>
      <c r="P18" s="32" t="s">
        <v>77</v>
      </c>
      <c r="Q18" s="32">
        <v>2020</v>
      </c>
    </row>
    <row r="19" spans="2:17" ht="13" x14ac:dyDescent="0.3">
      <c r="B19" s="99"/>
      <c r="C19" s="88"/>
      <c r="D19" s="88"/>
      <c r="E19" s="88"/>
      <c r="F19" s="103"/>
      <c r="P19" s="13" t="s">
        <v>79</v>
      </c>
      <c r="Q19" s="32">
        <v>5203</v>
      </c>
    </row>
    <row r="20" spans="2:17" ht="13.5" thickBot="1" x14ac:dyDescent="0.35">
      <c r="B20" s="104" t="s">
        <v>461</v>
      </c>
      <c r="C20" s="116">
        <f>C18-C12</f>
        <v>-74283.9256956522</v>
      </c>
      <c r="D20" s="105">
        <f>D18-D12</f>
        <v>-56951.009700000017</v>
      </c>
      <c r="E20" s="105">
        <f>E18-E12</f>
        <v>-83134.506244347853</v>
      </c>
      <c r="F20" s="106">
        <f>F18-F12</f>
        <v>-214369.44164000009</v>
      </c>
      <c r="P20" s="32" t="s">
        <v>85</v>
      </c>
      <c r="Q20" s="32">
        <v>2024</v>
      </c>
    </row>
    <row r="21" spans="2:17" ht="13" x14ac:dyDescent="0.3">
      <c r="C21" s="82"/>
      <c r="P21" s="32" t="s">
        <v>91</v>
      </c>
      <c r="Q21" s="32">
        <v>2025</v>
      </c>
    </row>
    <row r="22" spans="2:17" x14ac:dyDescent="0.25">
      <c r="P22" s="32" t="s">
        <v>93</v>
      </c>
      <c r="Q22" s="32">
        <v>2026</v>
      </c>
    </row>
    <row r="23" spans="2:17" ht="13" thickBot="1" x14ac:dyDescent="0.3">
      <c r="P23" s="32" t="s">
        <v>96</v>
      </c>
      <c r="Q23" s="32">
        <v>5211</v>
      </c>
    </row>
    <row r="24" spans="2:17" ht="13" x14ac:dyDescent="0.3">
      <c r="B24" s="96" t="s">
        <v>462</v>
      </c>
      <c r="C24" s="456" t="s">
        <v>451</v>
      </c>
      <c r="D24" s="456"/>
      <c r="E24" s="456"/>
      <c r="F24" s="97"/>
      <c r="P24" s="32" t="s">
        <v>100</v>
      </c>
      <c r="Q24" s="32">
        <v>2029</v>
      </c>
    </row>
    <row r="25" spans="2:17" ht="13.5" thickBot="1" x14ac:dyDescent="0.35">
      <c r="B25" s="110"/>
      <c r="C25" s="111" t="s">
        <v>452</v>
      </c>
      <c r="D25" s="112" t="s">
        <v>453</v>
      </c>
      <c r="E25" s="112" t="s">
        <v>454</v>
      </c>
      <c r="F25" s="113" t="s">
        <v>112</v>
      </c>
      <c r="P25" s="32" t="s">
        <v>102</v>
      </c>
      <c r="Q25" s="32">
        <v>2061</v>
      </c>
    </row>
    <row r="26" spans="2:17" ht="13" x14ac:dyDescent="0.3">
      <c r="B26" s="96" t="s">
        <v>455</v>
      </c>
      <c r="C26" s="114">
        <f>VLOOKUP(B4,'EY Additional 15'!A:Y,6,0)</f>
        <v>2535</v>
      </c>
      <c r="D26" s="114">
        <f>VLOOKUP(B4,'EY Additional 15'!A:Y,7,0)</f>
        <v>10650</v>
      </c>
      <c r="E26" s="114">
        <f>VLOOKUP(B4,'EY Additional 15'!A:Y,5,0)</f>
        <v>2340</v>
      </c>
      <c r="F26" s="115">
        <f>SUM(C26:E26)</f>
        <v>15525</v>
      </c>
      <c r="P26" s="32" t="s">
        <v>106</v>
      </c>
      <c r="Q26" s="32">
        <v>2021</v>
      </c>
    </row>
    <row r="27" spans="2:17" ht="13" x14ac:dyDescent="0.3">
      <c r="B27" s="99" t="s">
        <v>456</v>
      </c>
      <c r="C27" s="85">
        <f>C26/195</f>
        <v>13</v>
      </c>
      <c r="D27" s="90">
        <f>D26/195</f>
        <v>54.615384615384613</v>
      </c>
      <c r="E27" s="90">
        <f>E26/180</f>
        <v>13</v>
      </c>
      <c r="F27" s="98"/>
      <c r="P27" s="32" t="s">
        <v>108</v>
      </c>
      <c r="Q27" s="32">
        <v>2063</v>
      </c>
    </row>
    <row r="28" spans="2:17" ht="13" x14ac:dyDescent="0.3">
      <c r="B28" s="99" t="s">
        <v>311</v>
      </c>
      <c r="C28" s="86">
        <f>VLOOKUP(B4,'EY Additional 15'!A:Y,23,0)</f>
        <v>6.3490534782608705</v>
      </c>
      <c r="D28" s="86">
        <f>C28</f>
        <v>6.3490534782608705</v>
      </c>
      <c r="E28" s="86">
        <f>C28</f>
        <v>6.3490534782608705</v>
      </c>
      <c r="F28" s="98"/>
      <c r="P28" s="32" t="s">
        <v>110</v>
      </c>
      <c r="Q28" s="32">
        <v>2081</v>
      </c>
    </row>
    <row r="29" spans="2:17" ht="13" x14ac:dyDescent="0.3">
      <c r="B29" s="99"/>
      <c r="C29" s="84"/>
      <c r="D29" s="83"/>
      <c r="E29" s="83"/>
      <c r="F29" s="98"/>
      <c r="P29" s="32" t="s">
        <v>111</v>
      </c>
      <c r="Q29" s="32">
        <v>5204</v>
      </c>
    </row>
    <row r="30" spans="2:17" ht="13" x14ac:dyDescent="0.3">
      <c r="B30" s="99" t="s">
        <v>457</v>
      </c>
      <c r="C30" s="109">
        <f>C26*C28</f>
        <v>16094.850567391306</v>
      </c>
      <c r="D30" s="107">
        <f t="shared" ref="D30:E30" si="3">D26*D28</f>
        <v>67617.419543478274</v>
      </c>
      <c r="E30" s="107">
        <f t="shared" si="3"/>
        <v>14856.785139130438</v>
      </c>
      <c r="F30" s="108">
        <f>SUM(C30:E30)</f>
        <v>98569.055250000019</v>
      </c>
      <c r="P30" s="32" t="s">
        <v>114</v>
      </c>
      <c r="Q30" s="32">
        <v>3302</v>
      </c>
    </row>
    <row r="31" spans="2:17" ht="13.5" thickBot="1" x14ac:dyDescent="0.35">
      <c r="B31" s="99"/>
      <c r="C31" s="91"/>
      <c r="D31" s="94"/>
      <c r="E31" s="94"/>
      <c r="F31" s="98"/>
      <c r="P31" s="32" t="s">
        <v>116</v>
      </c>
      <c r="Q31" s="32">
        <v>2027</v>
      </c>
    </row>
    <row r="32" spans="2:17" ht="13.5" thickBot="1" x14ac:dyDescent="0.35">
      <c r="B32" s="101" t="s">
        <v>458</v>
      </c>
      <c r="C32" s="457"/>
      <c r="D32" s="458"/>
      <c r="E32" s="458"/>
      <c r="F32" s="102"/>
      <c r="P32" s="32" t="s">
        <v>277</v>
      </c>
      <c r="Q32" s="32">
        <v>2032</v>
      </c>
    </row>
    <row r="33" spans="2:17" ht="13" x14ac:dyDescent="0.3">
      <c r="B33" s="99" t="s">
        <v>459</v>
      </c>
      <c r="C33" s="92">
        <f>C32*15*13</f>
        <v>0</v>
      </c>
      <c r="D33" s="92">
        <f t="shared" ref="D33" si="4">D32*15*13</f>
        <v>0</v>
      </c>
      <c r="E33" s="92">
        <f>E32*15*12</f>
        <v>0</v>
      </c>
      <c r="F33" s="100">
        <f>SUM(C33:E33)</f>
        <v>0</v>
      </c>
      <c r="P33" s="32" t="s">
        <v>120</v>
      </c>
      <c r="Q33" s="32">
        <v>2028</v>
      </c>
    </row>
    <row r="34" spans="2:17" ht="13" x14ac:dyDescent="0.3">
      <c r="B34" s="99" t="s">
        <v>311</v>
      </c>
      <c r="C34" s="86">
        <f>C28</f>
        <v>6.3490534782608705</v>
      </c>
      <c r="D34" s="87">
        <f>C28</f>
        <v>6.3490534782608705</v>
      </c>
      <c r="E34" s="87">
        <f>C28</f>
        <v>6.3490534782608705</v>
      </c>
      <c r="F34" s="98"/>
      <c r="P34" s="32" t="s">
        <v>122</v>
      </c>
      <c r="Q34" s="32">
        <v>2017</v>
      </c>
    </row>
    <row r="35" spans="2:17" ht="13" x14ac:dyDescent="0.3">
      <c r="B35" s="99"/>
      <c r="C35" s="84"/>
      <c r="D35" s="83"/>
      <c r="E35" s="83"/>
      <c r="F35" s="98"/>
      <c r="P35" s="32" t="s">
        <v>463</v>
      </c>
      <c r="Q35" s="32">
        <v>1000</v>
      </c>
    </row>
    <row r="36" spans="2:17" ht="13" x14ac:dyDescent="0.3">
      <c r="B36" s="99" t="s">
        <v>460</v>
      </c>
      <c r="C36" s="109">
        <f>C33*C34</f>
        <v>0</v>
      </c>
      <c r="D36" s="109">
        <f t="shared" ref="D36:E36" si="5">D33*D34</f>
        <v>0</v>
      </c>
      <c r="E36" s="109">
        <f t="shared" si="5"/>
        <v>0</v>
      </c>
      <c r="F36" s="108">
        <f>SUM(C36:E36)</f>
        <v>0</v>
      </c>
      <c r="P36" s="32" t="s">
        <v>124</v>
      </c>
      <c r="Q36" s="32">
        <v>2037</v>
      </c>
    </row>
    <row r="37" spans="2:17" ht="13" x14ac:dyDescent="0.3">
      <c r="B37" s="99"/>
      <c r="C37" s="88"/>
      <c r="D37" s="88"/>
      <c r="E37" s="88"/>
      <c r="F37" s="103"/>
      <c r="P37" s="32" t="s">
        <v>129</v>
      </c>
      <c r="Q37" s="32">
        <v>2039</v>
      </c>
    </row>
    <row r="38" spans="2:17" ht="13.5" thickBot="1" x14ac:dyDescent="0.35">
      <c r="B38" s="104" t="s">
        <v>461</v>
      </c>
      <c r="C38" s="116">
        <f>C36-C30</f>
        <v>-16094.850567391306</v>
      </c>
      <c r="D38" s="105">
        <f>D36-D30</f>
        <v>-67617.419543478274</v>
      </c>
      <c r="E38" s="105">
        <f>E36-E30</f>
        <v>-14856.785139130438</v>
      </c>
      <c r="F38" s="106">
        <f>F36-F30</f>
        <v>-98569.055250000019</v>
      </c>
      <c r="P38" s="32" t="s">
        <v>464</v>
      </c>
      <c r="Q38" s="32">
        <v>5200</v>
      </c>
    </row>
    <row r="39" spans="2:17" x14ac:dyDescent="0.25">
      <c r="P39" s="32" t="s">
        <v>139</v>
      </c>
      <c r="Q39" s="32">
        <v>2040</v>
      </c>
    </row>
    <row r="40" spans="2:17" x14ac:dyDescent="0.25">
      <c r="P40" s="32" t="s">
        <v>142</v>
      </c>
      <c r="Q40" s="32">
        <v>2064</v>
      </c>
    </row>
    <row r="43" spans="2:17" ht="13.5" thickBot="1" x14ac:dyDescent="0.35">
      <c r="B43" s="412" t="s">
        <v>465</v>
      </c>
    </row>
    <row r="44" spans="2:17" ht="13" x14ac:dyDescent="0.3">
      <c r="B44" s="96" t="s">
        <v>462</v>
      </c>
      <c r="C44" s="456" t="s">
        <v>451</v>
      </c>
      <c r="D44" s="456"/>
      <c r="E44" s="456"/>
      <c r="F44" s="97"/>
    </row>
    <row r="45" spans="2:17" ht="13.5" thickBot="1" x14ac:dyDescent="0.35">
      <c r="B45" s="110"/>
      <c r="C45" s="111" t="s">
        <v>452</v>
      </c>
      <c r="D45" s="112" t="s">
        <v>453</v>
      </c>
      <c r="E45" s="112" t="s">
        <v>454</v>
      </c>
      <c r="F45" s="113" t="s">
        <v>112</v>
      </c>
    </row>
    <row r="46" spans="2:17" ht="13.5" thickBot="1" x14ac:dyDescent="0.35">
      <c r="B46" s="101" t="s">
        <v>466</v>
      </c>
      <c r="C46" s="93"/>
      <c r="D46" s="95"/>
      <c r="E46" s="95"/>
      <c r="F46" s="102"/>
    </row>
    <row r="47" spans="2:17" ht="13.5" thickBot="1" x14ac:dyDescent="0.35">
      <c r="B47" s="101" t="s">
        <v>467</v>
      </c>
      <c r="C47" s="93"/>
      <c r="D47" s="95"/>
      <c r="E47" s="95"/>
      <c r="F47" s="102"/>
    </row>
    <row r="48" spans="2:17" ht="13" x14ac:dyDescent="0.3">
      <c r="B48" s="99" t="s">
        <v>459</v>
      </c>
      <c r="C48" s="92">
        <f>SUM(C46:C47)*15*13</f>
        <v>0</v>
      </c>
      <c r="D48" s="92">
        <f t="shared" ref="D48" si="6">SUM(D46:D47)*15*13</f>
        <v>0</v>
      </c>
      <c r="E48" s="92">
        <f>SUM(E46:E47)*15*12</f>
        <v>0</v>
      </c>
      <c r="F48" s="100">
        <f>SUM(C48:E48)</f>
        <v>0</v>
      </c>
    </row>
    <row r="49" spans="2:17" ht="13" x14ac:dyDescent="0.3">
      <c r="B49" s="99" t="s">
        <v>311</v>
      </c>
      <c r="C49" s="86">
        <v>8.44</v>
      </c>
      <c r="D49" s="87">
        <v>8.44</v>
      </c>
      <c r="E49" s="87">
        <v>8.44</v>
      </c>
      <c r="F49" s="98"/>
    </row>
    <row r="50" spans="2:17" ht="13" x14ac:dyDescent="0.3">
      <c r="B50" s="99"/>
      <c r="C50" s="84"/>
      <c r="D50" s="83"/>
      <c r="E50" s="83"/>
      <c r="F50" s="98"/>
    </row>
    <row r="51" spans="2:17" ht="13.5" thickBot="1" x14ac:dyDescent="0.35">
      <c r="B51" s="104" t="s">
        <v>460</v>
      </c>
      <c r="C51" s="410">
        <f>C48*C49</f>
        <v>0</v>
      </c>
      <c r="D51" s="410">
        <f t="shared" ref="D51:E51" si="7">D48*D49</f>
        <v>0</v>
      </c>
      <c r="E51" s="410">
        <f t="shared" si="7"/>
        <v>0</v>
      </c>
      <c r="F51" s="411">
        <f>SUM(C51:E51)</f>
        <v>0</v>
      </c>
    </row>
    <row r="55" spans="2:17" ht="13" x14ac:dyDescent="0.3">
      <c r="B55" s="31" t="s">
        <v>468</v>
      </c>
      <c r="P55" s="32" t="s">
        <v>145</v>
      </c>
      <c r="Q55" s="32">
        <v>2045</v>
      </c>
    </row>
    <row r="56" spans="2:17" x14ac:dyDescent="0.25">
      <c r="P56" s="32" t="s">
        <v>147</v>
      </c>
      <c r="Q56" s="32">
        <v>2080</v>
      </c>
    </row>
    <row r="57" spans="2:17" x14ac:dyDescent="0.25">
      <c r="B57" s="32" t="s">
        <v>469</v>
      </c>
      <c r="P57" s="32" t="s">
        <v>151</v>
      </c>
      <c r="Q57" s="32">
        <v>2048</v>
      </c>
    </row>
    <row r="58" spans="2:17" x14ac:dyDescent="0.25">
      <c r="B58" s="32" t="s">
        <v>470</v>
      </c>
      <c r="P58" s="32" t="s">
        <v>154</v>
      </c>
      <c r="Q58" s="32">
        <v>3405</v>
      </c>
    </row>
    <row r="59" spans="2:17" x14ac:dyDescent="0.25">
      <c r="B59" s="32" t="s">
        <v>471</v>
      </c>
      <c r="P59" s="32" t="s">
        <v>155</v>
      </c>
      <c r="Q59" s="32">
        <v>5208</v>
      </c>
    </row>
    <row r="60" spans="2:17" x14ac:dyDescent="0.25">
      <c r="B60" s="32" t="s">
        <v>472</v>
      </c>
      <c r="P60" s="32" t="s">
        <v>156</v>
      </c>
      <c r="Q60" s="32">
        <v>3402</v>
      </c>
    </row>
    <row r="61" spans="2:17" x14ac:dyDescent="0.25">
      <c r="B61" s="32" t="s">
        <v>473</v>
      </c>
      <c r="P61" s="32" t="s">
        <v>157</v>
      </c>
      <c r="Q61" s="32">
        <v>2035</v>
      </c>
    </row>
    <row r="62" spans="2:17" x14ac:dyDescent="0.25">
      <c r="P62" s="32" t="s">
        <v>159</v>
      </c>
      <c r="Q62" s="32">
        <v>3404</v>
      </c>
    </row>
    <row r="63" spans="2:17" x14ac:dyDescent="0.25">
      <c r="P63" s="32" t="s">
        <v>161</v>
      </c>
      <c r="Q63" s="32">
        <v>3306</v>
      </c>
    </row>
    <row r="64" spans="2:17" x14ac:dyDescent="0.25">
      <c r="P64" s="32" t="s">
        <v>163</v>
      </c>
      <c r="Q64" s="32">
        <v>3400</v>
      </c>
    </row>
    <row r="65" spans="16:17" x14ac:dyDescent="0.25">
      <c r="P65" s="32" t="s">
        <v>165</v>
      </c>
      <c r="Q65" s="32">
        <v>3403</v>
      </c>
    </row>
    <row r="66" spans="16:17" x14ac:dyDescent="0.25">
      <c r="P66" s="32" t="s">
        <v>287</v>
      </c>
      <c r="Q66" s="32">
        <v>2004</v>
      </c>
    </row>
    <row r="67" spans="16:17" x14ac:dyDescent="0.25">
      <c r="P67" s="32" t="s">
        <v>179</v>
      </c>
      <c r="Q67" s="32">
        <v>2065</v>
      </c>
    </row>
    <row r="68" spans="16:17" x14ac:dyDescent="0.25">
      <c r="P68" s="32" t="s">
        <v>180</v>
      </c>
      <c r="Q68" s="32">
        <v>2051</v>
      </c>
    </row>
    <row r="69" spans="16:17" x14ac:dyDescent="0.25">
      <c r="P69" s="32" t="s">
        <v>181</v>
      </c>
      <c r="Q69" s="32">
        <v>2069</v>
      </c>
    </row>
    <row r="70" spans="16:17" x14ac:dyDescent="0.25">
      <c r="P70" s="32" t="s">
        <v>183</v>
      </c>
      <c r="Q70" s="32">
        <v>2074</v>
      </c>
    </row>
    <row r="71" spans="16:17" x14ac:dyDescent="0.25">
      <c r="P71" s="32" t="s">
        <v>185</v>
      </c>
      <c r="Q71" s="32">
        <v>2049</v>
      </c>
    </row>
    <row r="72" spans="16:17" x14ac:dyDescent="0.25">
      <c r="P72" s="32" t="s">
        <v>186</v>
      </c>
      <c r="Q72" s="32">
        <v>2060</v>
      </c>
    </row>
    <row r="73" spans="16:17" x14ac:dyDescent="0.25">
      <c r="P73" s="32" t="s">
        <v>187</v>
      </c>
      <c r="Q73" s="32">
        <v>2082</v>
      </c>
    </row>
  </sheetData>
  <sheetProtection algorithmName="SHA-512" hashValue="LmCyqyq+TKM/9InrWerhSMhs/cJAxWKaD6b3LiofNsXWxnF6LcRyfhUkOcEIlSO2qhmI2spVUmsC2YrwNLAbHg==" saltValue="vhTYyFWSm2NaHkA/e89Q5g==" spinCount="100000" sheet="1" objects="1" scenarios="1"/>
  <mergeCells count="3">
    <mergeCell ref="C6:E6"/>
    <mergeCell ref="C24:E24"/>
    <mergeCell ref="C44:E44"/>
  </mergeCells>
  <conditionalFormatting sqref="Q3:Q35 Q37:Q73">
    <cfRule type="duplicateValues" dxfId="1" priority="29"/>
  </conditionalFormatting>
  <conditionalFormatting sqref="Q36">
    <cfRule type="duplicateValues" dxfId="0" priority="1"/>
  </conditionalFormatting>
  <dataValidations count="1">
    <dataValidation type="list" allowBlank="1" showInputMessage="1" showErrorMessage="1" promptTitle="Please select school" sqref="B3" xr:uid="{00000000-0002-0000-0600-000000000000}">
      <formula1>$P$3:$P$73</formula1>
    </dataValidation>
  </dataValidations>
  <pageMargins left="0.70866141732283472" right="0.70866141732283472" top="0.74803149606299213" bottom="0.7480314960629921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2316f4-5d4e-44a8-a5ef-32b9ccfcf81e">
      <UserInfo>
        <DisplayName>Asif Huq</DisplayName>
        <AccountId>4300</AccountId>
        <AccountType/>
      </UserInfo>
      <UserInfo>
        <DisplayName>Sailesh Patel</DisplayName>
        <AccountId>4424</AccountId>
        <AccountType/>
      </UserInfo>
      <UserInfo>
        <DisplayName>Andy Moore</DisplayName>
        <AccountId>4392</AccountId>
        <AccountType/>
      </UserInfo>
      <UserInfo>
        <DisplayName>Kate Appleyard</DisplayName>
        <AccountId>4362</AccountId>
        <AccountType/>
      </UserInfo>
      <UserInfo>
        <DisplayName>Steve Denbeigh</DisplayName>
        <AccountId>4398</AccountId>
        <AccountType/>
      </UserInfo>
      <UserInfo>
        <DisplayName>Greg Watson (Schools Finance)</DisplayName>
        <AccountId>13</AccountId>
        <AccountType/>
      </UserInfo>
      <UserInfo>
        <DisplayName>Davinder Devgon</DisplayName>
        <AccountId>27</AccountId>
        <AccountType/>
      </UserInfo>
      <UserInfo>
        <DisplayName>Danny Doherty</DisplayName>
        <AccountId>4570</AccountId>
        <AccountType/>
      </UserInfo>
    </SharedWithUsers>
    <lcf76f155ced4ddcb4097134ff3c332f xmlns="bbfdf82c-52d2-4d4d-96ea-a7a5fb009161">
      <Terms xmlns="http://schemas.microsoft.com/office/infopath/2007/PartnerControls"/>
    </lcf76f155ced4ddcb4097134ff3c332f>
    <TaxCatchAll xmlns="962316f4-5d4e-44a8-a5ef-32b9ccfcf81e" xsi:nil="true"/>
    <Order0 xmlns="bbfdf82c-52d2-4d4d-96ea-a7a5fb0091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917BF2E65A01458C8572B710C39C45" ma:contentTypeVersion="19" ma:contentTypeDescription="Create a new document." ma:contentTypeScope="" ma:versionID="3b0db50d01dc209ce58ea8cf55eaf2de">
  <xsd:schema xmlns:xsd="http://www.w3.org/2001/XMLSchema" xmlns:xs="http://www.w3.org/2001/XMLSchema" xmlns:p="http://schemas.microsoft.com/office/2006/metadata/properties" xmlns:ns2="962316f4-5d4e-44a8-a5ef-32b9ccfcf81e" xmlns:ns3="bbfdf82c-52d2-4d4d-96ea-a7a5fb009161" targetNamespace="http://schemas.microsoft.com/office/2006/metadata/properties" ma:root="true" ma:fieldsID="8ca934a499e0e41166d0ab8b8de97da5" ns2:_="" ns3:_="">
    <xsd:import namespace="962316f4-5d4e-44a8-a5ef-32b9ccfcf81e"/>
    <xsd:import namespace="bbfdf82c-52d2-4d4d-96ea-a7a5fb00916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Order0"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316f4-5d4e-44a8-a5ef-32b9ccfcf8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359590d-4980-4a2f-aed4-1319437f1000}" ma:internalName="TaxCatchAll" ma:showField="CatchAllData" ma:web="962316f4-5d4e-44a8-a5ef-32b9ccfcf8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df82c-52d2-4d4d-96ea-a7a5fb00916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75d32d0-dd38-4d2f-b4b0-3860cb1feb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1796C7-7BF2-4A56-AC98-6BC27CBA481F}">
  <ds:schemaRefs>
    <ds:schemaRef ds:uri="http://schemas.microsoft.com/office/2006/metadata/properties"/>
    <ds:schemaRef ds:uri="http://schemas.microsoft.com/office/infopath/2007/PartnerControls"/>
    <ds:schemaRef ds:uri="962316f4-5d4e-44a8-a5ef-32b9ccfcf81e"/>
    <ds:schemaRef ds:uri="bbfdf82c-52d2-4d4d-96ea-a7a5fb009161"/>
  </ds:schemaRefs>
</ds:datastoreItem>
</file>

<file path=customXml/itemProps2.xml><?xml version="1.0" encoding="utf-8"?>
<ds:datastoreItem xmlns:ds="http://schemas.openxmlformats.org/officeDocument/2006/customXml" ds:itemID="{AD57772B-F626-4FED-8FC1-CFAF1F1DEC38}">
  <ds:schemaRefs>
    <ds:schemaRef ds:uri="http://schemas.microsoft.com/sharepoint/v3/contenttype/forms"/>
  </ds:schemaRefs>
</ds:datastoreItem>
</file>

<file path=customXml/itemProps3.xml><?xml version="1.0" encoding="utf-8"?>
<ds:datastoreItem xmlns:ds="http://schemas.openxmlformats.org/officeDocument/2006/customXml" ds:itemID="{E1202456-74F3-4089-846C-CE1F3CE02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316f4-5d4e-44a8-a5ef-32b9ccfcf81e"/>
    <ds:schemaRef ds:uri="bbfdf82c-52d2-4d4d-96ea-a7a5fb009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Notes</vt:lpstr>
      <vt:lpstr>Indv Schools</vt:lpstr>
      <vt:lpstr>All Schools</vt:lpstr>
      <vt:lpstr>EY Universal 15</vt:lpstr>
      <vt:lpstr>Sheet1</vt:lpstr>
      <vt:lpstr>EY Additional 15</vt:lpstr>
      <vt:lpstr>McMillan </vt:lpstr>
      <vt:lpstr>EYSFF Calculator</vt:lpstr>
      <vt:lpstr>IDACI_B1_Pri</vt:lpstr>
      <vt:lpstr>IDACI_B2_Pri</vt:lpstr>
      <vt:lpstr>IDACI_B3_Pri</vt:lpstr>
      <vt:lpstr>IDACI_B4_Pri</vt:lpstr>
      <vt:lpstr>IDACI_B5_Pri</vt:lpstr>
      <vt:lpstr>'All Schools'!Print_Area</vt:lpstr>
      <vt:lpstr>'Indv Schools'!Print_Area</vt:lpstr>
      <vt:lpstr>Notes!Print_Area</vt:lpstr>
      <vt:lpstr>'All Schools'!Print_Titles</vt:lpstr>
      <vt:lpstr>Notes!Print_Titles</vt:lpstr>
    </vt:vector>
  </TitlesOfParts>
  <Manager/>
  <Company>London Borough of Hillingdon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SPatel5@hillingdon.gov.uk</dc:creator>
  <cp:keywords/>
  <dc:description/>
  <cp:lastModifiedBy>Steve Denbeigh</cp:lastModifiedBy>
  <cp:revision/>
  <dcterms:created xsi:type="dcterms:W3CDTF">2013-01-31T15:35:29Z</dcterms:created>
  <dcterms:modified xsi:type="dcterms:W3CDTF">2025-07-07T10:59:39Z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0x010100CA917BF2E65A01458C8572B710C39C45</vt:lpwstr>
  </property>
  <property fmtid="{D5CDD505-2E9C-101B-9397-08002B2CF9AE}" pid="3" name="Order">
    <vt:r8>100</vt:r8>
  </property>
  <property fmtid="{D5CDD505-2E9C-101B-9397-08002B2CF9AE}" pid="4" name="MSIP_Label_7a8edf35-91ea-44e1-afab-38c462b39a0c_Enabled">
    <vt:lpwstr>true</vt:lpwstr>
  </property>
  <property fmtid="{D5CDD505-2E9C-101B-9397-08002B2CF9AE}" pid="5" name="MSIP_Label_7a8edf35-91ea-44e1-afab-38c462b39a0c_SetDate">
    <vt:lpwstr>2021-06-02T13:37:22Z</vt:lpwstr>
  </property>
  <property fmtid="{D5CDD505-2E9C-101B-9397-08002B2CF9AE}" pid="6" name="MSIP_Label_7a8edf35-91ea-44e1-afab-38c462b39a0c_Method">
    <vt:lpwstr>Standard</vt:lpwstr>
  </property>
  <property fmtid="{D5CDD505-2E9C-101B-9397-08002B2CF9AE}" pid="7" name="MSIP_Label_7a8edf35-91ea-44e1-afab-38c462b39a0c_Name">
    <vt:lpwstr>Official</vt:lpwstr>
  </property>
  <property fmtid="{D5CDD505-2E9C-101B-9397-08002B2CF9AE}" pid="8" name="MSIP_Label_7a8edf35-91ea-44e1-afab-38c462b39a0c_SiteId">
    <vt:lpwstr>aaacb679-c381-48fb-b320-f9d581ee948f</vt:lpwstr>
  </property>
  <property fmtid="{D5CDD505-2E9C-101B-9397-08002B2CF9AE}" pid="9" name="MSIP_Label_7a8edf35-91ea-44e1-afab-38c462b39a0c_ActionId">
    <vt:lpwstr>59ae3936-efa5-497b-ad73-cc9077da65fc</vt:lpwstr>
  </property>
  <property fmtid="{D5CDD505-2E9C-101B-9397-08002B2CF9AE}" pid="10" name="MSIP_Label_7a8edf35-91ea-44e1-afab-38c462b39a0c_ContentBits">
    <vt:lpwstr>0</vt:lpwstr>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