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ttps://hillingdon-my.sharepoint.com/personal/sdenbeigh_hillingdon_gov_uk1/Documents/Desktop/Files for Corp web/School Budgets/Special/"/>
    </mc:Choice>
  </mc:AlternateContent>
  <xr:revisionPtr revIDLastSave="4" documentId="8_{53F9CF8F-D1A3-413A-A852-F3BF6A77A595}" xr6:coauthVersionLast="47" xr6:coauthVersionMax="47" xr10:uidLastSave="{59BA3E2B-24DA-4A9D-8933-6EFA5E86945B}"/>
  <bookViews>
    <workbookView xWindow="63740" yWindow="1100" windowWidth="20360" windowHeight="14060" tabRatio="609" xr2:uid="{00000000-000D-0000-FFFF-FFFF00000000}"/>
  </bookViews>
  <sheets>
    <sheet name="Special School" sheetId="7" r:id="rId1"/>
    <sheet name="SRP" sheetId="1" r:id="rId2"/>
    <sheet name="Funding Analysis (Special)" sheetId="8" r:id="rId3"/>
    <sheet name="Other grants" sheetId="5" state="hidden" r:id="rId4"/>
    <sheet name="Funding Analysis (SRP)" sheetId="3" r:id="rId5"/>
    <sheet name="Top-up rates" sheetId="6" r:id="rId6"/>
  </sheets>
  <definedNames>
    <definedName name="_xlnm._FilterDatabase" localSheetId="0" hidden="1">'Special School'!$M$6:$M$31</definedName>
    <definedName name="_xlnm._FilterDatabase" localSheetId="1" hidden="1">SRP!$K$6:$K$27</definedName>
    <definedName name="_xlnm.Criteria" localSheetId="0">'Special School'!$M$6</definedName>
    <definedName name="_xlnm.Criteria" localSheetId="1">SRP!$K$6</definedName>
    <definedName name="_xlnm.Print_Area" localSheetId="0">'Special School'!$A$1:$H$37</definedName>
    <definedName name="_xlnm.Print_Area" localSheetId="1">SRP!$A$1:$E$23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G10" i="7"/>
  <c r="G21" i="7"/>
  <c r="G20" i="7"/>
  <c r="G19" i="7"/>
  <c r="G18" i="7"/>
  <c r="G17" i="7"/>
  <c r="H12" i="8" l="1"/>
  <c r="H9" i="3" l="1"/>
  <c r="B4" i="7"/>
  <c r="D8" i="7" s="1"/>
  <c r="O13" i="8" l="1"/>
  <c r="N13" i="8"/>
  <c r="M13" i="8"/>
  <c r="L13" i="8"/>
  <c r="K13" i="8"/>
  <c r="J13" i="8"/>
  <c r="D13" i="8" l="1"/>
  <c r="E13" i="8"/>
  <c r="H13" i="8"/>
  <c r="M19" i="3" l="1"/>
  <c r="G12" i="8"/>
  <c r="G11" i="8"/>
  <c r="G10" i="8"/>
  <c r="G9" i="8"/>
  <c r="G8" i="8"/>
  <c r="G5" i="8"/>
  <c r="F7" i="8"/>
  <c r="F6" i="8"/>
  <c r="F13" i="8" l="1"/>
  <c r="G13" i="8"/>
  <c r="J17" i="3"/>
  <c r="J19" i="3" s="1"/>
  <c r="E9" i="1"/>
  <c r="K7" i="3"/>
  <c r="K11" i="3"/>
  <c r="K12" i="3"/>
  <c r="K13" i="3"/>
  <c r="K15" i="3"/>
  <c r="K17" i="3"/>
  <c r="K18" i="3"/>
  <c r="I15" i="3"/>
  <c r="I16" i="3"/>
  <c r="E18" i="3"/>
  <c r="H18" i="3" s="1"/>
  <c r="I18" i="3" s="1"/>
  <c r="E6" i="3"/>
  <c r="H6" i="3" s="1"/>
  <c r="I6" i="3" s="1"/>
  <c r="E7" i="3"/>
  <c r="H7" i="3" s="1"/>
  <c r="I7" i="3" s="1"/>
  <c r="E8" i="3"/>
  <c r="H8" i="3" s="1"/>
  <c r="I8" i="3" s="1"/>
  <c r="E10" i="3"/>
  <c r="I10" i="3" s="1"/>
  <c r="E11" i="3"/>
  <c r="H11" i="3" s="1"/>
  <c r="E12" i="3"/>
  <c r="H12" i="3" s="1"/>
  <c r="I12" i="3" s="1"/>
  <c r="E13" i="3"/>
  <c r="H13" i="3" s="1"/>
  <c r="E14" i="3"/>
  <c r="H14" i="3" s="1"/>
  <c r="E15" i="3"/>
  <c r="H15" i="3" s="1"/>
  <c r="E16" i="3"/>
  <c r="E5" i="3"/>
  <c r="H5" i="3" s="1"/>
  <c r="D19" i="3"/>
  <c r="F19" i="3"/>
  <c r="I9" i="3"/>
  <c r="I11" i="3"/>
  <c r="I13" i="3"/>
  <c r="I14" i="3"/>
  <c r="G6" i="3"/>
  <c r="G7" i="3"/>
  <c r="G8" i="3"/>
  <c r="G9" i="3"/>
  <c r="G10" i="3"/>
  <c r="G11" i="3"/>
  <c r="G12" i="3"/>
  <c r="G13" i="3"/>
  <c r="G14" i="3"/>
  <c r="G15" i="3"/>
  <c r="G16" i="3"/>
  <c r="G17" i="3"/>
  <c r="G18" i="3"/>
  <c r="G5" i="3"/>
  <c r="H19" i="3" l="1"/>
  <c r="K9" i="3"/>
  <c r="L9" i="3" s="1"/>
  <c r="L17" i="3"/>
  <c r="I5" i="3"/>
  <c r="L13" i="3"/>
  <c r="L15" i="3"/>
  <c r="L11" i="3"/>
  <c r="K10" i="3"/>
  <c r="L10" i="3" s="1"/>
  <c r="K14" i="3"/>
  <c r="L14" i="3" s="1"/>
  <c r="L7" i="3"/>
  <c r="K5" i="3"/>
  <c r="L5" i="3" s="1"/>
  <c r="L18" i="3"/>
  <c r="K8" i="3"/>
  <c r="L8" i="3" s="1"/>
  <c r="G19" i="3"/>
  <c r="K16" i="3"/>
  <c r="L16" i="3" s="1"/>
  <c r="K6" i="3"/>
  <c r="L6" i="3" s="1"/>
  <c r="I19" i="3"/>
  <c r="L12" i="3"/>
  <c r="E19" i="3"/>
  <c r="L19" i="3" l="1"/>
  <c r="K19" i="3"/>
  <c r="G7" i="7" l="1"/>
  <c r="C7" i="1" l="1"/>
  <c r="E7" i="1" l="1"/>
  <c r="G12" i="7"/>
  <c r="G23" i="7" s="1"/>
  <c r="F7" i="7"/>
  <c r="F8" i="7" s="1"/>
  <c r="E7" i="7"/>
  <c r="E8" i="7" s="1"/>
  <c r="G8" i="7" l="1"/>
  <c r="D8" i="1"/>
  <c r="E8" i="1" l="1"/>
  <c r="E14" i="1" s="1"/>
</calcChain>
</file>

<file path=xl/sharedStrings.xml><?xml version="1.0" encoding="utf-8"?>
<sst xmlns="http://schemas.openxmlformats.org/spreadsheetml/2006/main" count="195" uniqueCount="117">
  <si>
    <t>SPECIAL SCHOOL FUNDING 2021-22</t>
  </si>
  <si>
    <t>Hedgewood</t>
  </si>
  <si>
    <t>Indicative Budget Funding 2021-22</t>
  </si>
  <si>
    <t>Base Rate of Funding
£</t>
  </si>
  <si>
    <t>Number of
places 
Apr 21-Aug 21</t>
  </si>
  <si>
    <t>Number of places 
Sep 21-Mar 22</t>
  </si>
  <si>
    <t>Total
Funding
2021-22 £</t>
  </si>
  <si>
    <t>select school</t>
  </si>
  <si>
    <t>Planned Place numbers</t>
  </si>
  <si>
    <t>Grangewood</t>
  </si>
  <si>
    <t>Former Teachers Pay and Pension grants</t>
  </si>
  <si>
    <t>Meadow</t>
  </si>
  <si>
    <t>Top-Up Funding (Based on data as at March 2021)</t>
  </si>
  <si>
    <t>Moorcroft</t>
  </si>
  <si>
    <t>Pentland Field</t>
  </si>
  <si>
    <t>Total DSG - High Needs Block Funding for 2021-22</t>
  </si>
  <si>
    <t>Willows</t>
  </si>
  <si>
    <t>Young Peoples Academy</t>
  </si>
  <si>
    <t>The Skills Hub</t>
  </si>
  <si>
    <t>Other Grants (ESTIMATES) Maintained schools only</t>
  </si>
  <si>
    <t>Pupil Premium (Deprivation)</t>
  </si>
  <si>
    <t>Pupil Premium (Service Children)</t>
  </si>
  <si>
    <t>Pupil Premium (Post LAC)</t>
  </si>
  <si>
    <t>PE and Sports Grant</t>
  </si>
  <si>
    <t>Universal Infant Free School Meals (UIFSM)</t>
  </si>
  <si>
    <t>Total Funding estimates</t>
  </si>
  <si>
    <t>CFR code</t>
  </si>
  <si>
    <t>Notes</t>
  </si>
  <si>
    <t>I01</t>
  </si>
  <si>
    <t>The planned place number funding has been based on the numbers in total to be funded to the school. Maintained schools will be funded by the LA, academies by the ESFA</t>
  </si>
  <si>
    <t>A termly reconciliation will take place to identify cases where the actual numbers are higher than the published planned place number. In such cases the place funding may be adjusted pro-rata for LBH pupils.</t>
  </si>
  <si>
    <t>The former Teachers Pay and Teachers Pension and Teachers Pension Supplementary grants have been added to the 2021/22 DSG High Needs Block for special schools at £734 per place.  These are to be passported to schools and providers on an equivalent basis, ensuring that no reduction on the 2020/21 value per place is received.  Alternative provision schools will continue to be funded as a separate grant.</t>
  </si>
  <si>
    <t>I03</t>
  </si>
  <si>
    <t>Top up funding has been based on data as at January 2021 showing numbers of Hillingdon children in each establishment and assuming that this number will remain consistent for the financial year. Funding will be updated throughout the year to reflect actual children.</t>
  </si>
  <si>
    <t>Top up funding for children not residing in Hillingdon should be obtained from the relevant local authority</t>
  </si>
  <si>
    <t>I05</t>
  </si>
  <si>
    <r>
      <t xml:space="preserve">Pupil Premium </t>
    </r>
    <r>
      <rPr>
        <sz val="10"/>
        <rFont val="Arial"/>
        <family val="2"/>
      </rPr>
      <t>for 2021/22 onwards, the pupil numbers for this grant will be counted in the preceeding October.  It is</t>
    </r>
    <r>
      <rPr>
        <b/>
        <sz val="10"/>
        <rFont val="Arial"/>
        <family val="2"/>
      </rPr>
      <t xml:space="preserve"> </t>
    </r>
    <r>
      <rPr>
        <sz val="10"/>
        <rFont val="Arial"/>
        <family val="2"/>
      </rPr>
      <t>awarded for eligible statutory school age pupils (R- Yr 10) to address under achievement resulting from deprivation.</t>
    </r>
    <r>
      <rPr>
        <b/>
        <sz val="10"/>
        <rFont val="Arial"/>
        <family val="2"/>
      </rPr>
      <t xml:space="preserve">
Pupil Premium (Deprivation)</t>
    </r>
    <r>
      <rPr>
        <sz val="10"/>
        <rFont val="Arial"/>
        <family val="2"/>
      </rPr>
      <t xml:space="preserve">  This is based on the number of children, who have been eligible at any census in the previous 6 years for free school meals.  The figures quoted are based on the January '20 census multiplied by the 2020/21 rates per pupil according to age. The rates for 2021/22 remain unchanged (£1,345 for Primary and £955 for Secondary). These allocations will be updated when the DfE release this information to us in June, after which we will make an adjustment to your cash advance allocation where necessary</t>
    </r>
  </si>
  <si>
    <r>
      <t>Pupil Premium (Service Children)</t>
    </r>
    <r>
      <rPr>
        <sz val="10"/>
        <rFont val="Arial"/>
        <family val="2"/>
      </rPr>
      <t xml:space="preserve"> This is based on the number of children who have been recorded as a service child at any census in the last 6 years.  A service child is defined as one whose parents or guardian are a member of the British Armed Forces.   Estimates, and adjustments for actual allocations on the same basis as above.</t>
    </r>
  </si>
  <si>
    <r>
      <t>Pupil Premium (Post LAC)</t>
    </r>
    <r>
      <rPr>
        <sz val="10"/>
        <rFont val="Arial"/>
        <family val="2"/>
      </rPr>
      <t xml:space="preserve">  This is based on the number of children who have been adopted from care after 2005, or left care under a special guardianship order after 1991.  In 2021/22 the per pupil rates remain at £2,345.  Estimates, and adjustments for actual allocations on the same basis as above.</t>
    </r>
  </si>
  <si>
    <t>I18</t>
  </si>
  <si>
    <r>
      <t xml:space="preserve">PE and Sports Grant </t>
    </r>
    <r>
      <rPr>
        <sz val="10"/>
        <rFont val="Arial"/>
        <family val="2"/>
      </rPr>
      <t>This is the final part of the academic year 2020/21 grant, due in May '21. There is current uncertainty as to whether this grant will continue from September '21 and therefore we have just included the final payment of the 2020/21 academic year allocation.</t>
    </r>
  </si>
  <si>
    <r>
      <t>Universal Infant Free School Meals (UIFSM)</t>
    </r>
    <r>
      <rPr>
        <sz val="10"/>
        <rFont val="Arial"/>
        <family val="2"/>
      </rPr>
      <t xml:space="preserve"> 
This is an academic year grant, therefore your financial year allocation will be made up of 2 amounts - the final estimated payment for the academic year 2020/21 and the first estimated payment for academic year 2021/22.  These figures are based on the latest allocations form the DfE. The final figures will be issued by the DfE in June, after which we will make an amendment to your cash advance allocation where necessary</t>
    </r>
  </si>
  <si>
    <t>CI01</t>
  </si>
  <si>
    <r>
      <t xml:space="preserve">DFC - </t>
    </r>
    <r>
      <rPr>
        <sz val="10"/>
        <rFont val="Arial"/>
        <family val="2"/>
      </rPr>
      <t>This estimate is based on your 2020/21 DFC allocation. As soon as we receive the Devolved Formula Capital allocations for 2021/22 from the DfE we will communicate this to schools and make the necessary adjustment to your funding through the cash advance.</t>
    </r>
  </si>
  <si>
    <t>SPECIAL SCHOOL FUNDING 2021-22 (ANALYSIS)</t>
  </si>
  <si>
    <t>Non DSG grants - estimates maintained schools only</t>
  </si>
  <si>
    <t>School</t>
  </si>
  <si>
    <t>Sector
Type</t>
  </si>
  <si>
    <t>Status</t>
  </si>
  <si>
    <t>Planned
Place Nos.
Apr 21-Aug 21</t>
  </si>
  <si>
    <t>Planned
Place Nos.
Sep 21-Mar 22</t>
  </si>
  <si>
    <t>Planned Places LA Funded
£</t>
  </si>
  <si>
    <t>Planned Places ESFA Funded
£</t>
  </si>
  <si>
    <t>Top-up Funding Est. 2021-22
£</t>
  </si>
  <si>
    <t>Pupil Premium (PP) -Deprivation</t>
  </si>
  <si>
    <t>PP - Service Children</t>
  </si>
  <si>
    <t>PP - Post LAC</t>
  </si>
  <si>
    <t>PE and Sports</t>
  </si>
  <si>
    <t>UIFSM</t>
  </si>
  <si>
    <t>DFC</t>
  </si>
  <si>
    <t>Special School (P)</t>
  </si>
  <si>
    <t>Academy</t>
  </si>
  <si>
    <t>Maintained</t>
  </si>
  <si>
    <t>Special School (S)</t>
  </si>
  <si>
    <t>Special School (All)</t>
  </si>
  <si>
    <t>Free</t>
  </si>
  <si>
    <t>Alternative Provision</t>
  </si>
  <si>
    <t>Pupil Premium</t>
  </si>
  <si>
    <t>Pupil Premium Service Children</t>
  </si>
  <si>
    <t>Universal Infant Free School Meals</t>
  </si>
  <si>
    <t>Devolved Formula Capital</t>
  </si>
  <si>
    <t>16-19 Bursary</t>
  </si>
  <si>
    <t>SPECIAL RESOURCE PROVISION FUNDING 2021-22</t>
  </si>
  <si>
    <t>Harlington</t>
  </si>
  <si>
    <t>Number of Occupied
Places Jan 21</t>
  </si>
  <si>
    <t>Number of Unoccupied
Places Jan 21</t>
  </si>
  <si>
    <t>Total Funding 
2021-22
£</t>
  </si>
  <si>
    <t>Planned Place numbers (Occupied)</t>
  </si>
  <si>
    <t>Cherry Lane</t>
  </si>
  <si>
    <t>Planned Place numbers (Unoccupied)</t>
  </si>
  <si>
    <t>Coteford Infant</t>
  </si>
  <si>
    <t>Additional places from September 2021</t>
  </si>
  <si>
    <t>£     10,000 (x 7/12)</t>
  </si>
  <si>
    <t>Deanesfield</t>
  </si>
  <si>
    <t>Glebe</t>
  </si>
  <si>
    <t>Hayes Park</t>
  </si>
  <si>
    <t>Lake Farm</t>
  </si>
  <si>
    <t>Total Funding for 2021-22</t>
  </si>
  <si>
    <t>Pinkwell</t>
  </si>
  <si>
    <t>St Martin's</t>
  </si>
  <si>
    <t>Northwood</t>
  </si>
  <si>
    <t>Oak Wood</t>
  </si>
  <si>
    <t>Occupied SRP places as at the October 2020 pupil census will be funded at £6,000, with the remaining funding being distributed through the school funding formula. Unoccupied places continue to be funded at £10,000 per place.</t>
  </si>
  <si>
    <t>Ruislip High</t>
  </si>
  <si>
    <t>A termly reconciliation will take place to identify cases where the actual numbers are higher than the published planned place number. In such cases the place funding will be adjusted pro-rata for LBH pupils.</t>
  </si>
  <si>
    <t>Vyners</t>
  </si>
  <si>
    <t>Top up funding has been based on data as at March 2021 showing numbers of Hillingdon children in each establishment and assuming that this number will remain consistent for the financial year.  Funding will be updated throughout the year to reflect actual children.</t>
  </si>
  <si>
    <t>all</t>
  </si>
  <si>
    <t>SPECIAL RESOURCE PROVISION FUNDING 2021-22 (ANALYSIS)</t>
  </si>
  <si>
    <t>Sector type</t>
  </si>
  <si>
    <t>Planned Place numbers 
Apr 21-Aug 21</t>
  </si>
  <si>
    <t>Planned Places Sep 21-Mar 22</t>
  </si>
  <si>
    <t>SRP Occupied Places 
Jan 2021</t>
  </si>
  <si>
    <t>Occupied
Places
Funded
£ (@ 6k)</t>
  </si>
  <si>
    <t>SRP Unoccupied Places 
Jan 2021</t>
  </si>
  <si>
    <t>Unoccupied
Places
Funded
£ (@10k)</t>
  </si>
  <si>
    <t>Additional Places Funded from Sept 21
£ (@7/12)</t>
  </si>
  <si>
    <t>Planned Places EFA Funded
£</t>
  </si>
  <si>
    <t>SRP (P)</t>
  </si>
  <si>
    <t>Coteford Junior</t>
  </si>
  <si>
    <t>SRP (S)</t>
  </si>
  <si>
    <t>RH</t>
  </si>
  <si>
    <t>2 new 15 place SRPs, opening in Sept'21 with 3 places each (ASD &amp; PD)</t>
  </si>
  <si>
    <t>TOP-UP RATES 2021-22</t>
  </si>
  <si>
    <t>BAND</t>
  </si>
  <si>
    <t>2020/21 RATE
£</t>
  </si>
  <si>
    <t>YPA /SITA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</si>
</sst>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164" formatCode="_-&quot;£&quot;* #,##0_-;\-&quot;£&quot;* #,##0_-;_-&quot;£&quot;* &quot;-&quot;??_-;_-@_-"/>
    <numFmt numFmtId="165" formatCode="#,##0_ ;[Red]\-#,##0\ "/>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0"/>
      <name val="Arial"/>
      <family val="2"/>
    </font>
    <font>
      <b/>
      <u/>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color rgb="FFFF0000"/>
      <name val="Arial"/>
      <family val="2"/>
    </font>
    <font>
      <b/>
      <u/>
      <sz val="10"/>
      <name val="Arial"/>
      <family val="2"/>
    </font>
    <font>
      <sz val="10"/>
      <color theme="0"/>
      <name val="Arial"/>
      <family val="2"/>
    </font>
  </fonts>
  <fills count="35">
    <fill>
      <patternFill patternType="none"/>
    </fill>
    <fill>
      <patternFill patternType="gray125"/>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450666829432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48">
    <xf numFmtId="0" fontId="0" fillId="0" borderId="0"/>
    <xf numFmtId="3" fontId="3" fillId="0" borderId="0" applyFill="0" applyBorder="0" applyAlignment="0" applyProtection="0"/>
    <xf numFmtId="0" fontId="3" fillId="0" borderId="0"/>
    <xf numFmtId="0" fontId="3" fillId="0" borderId="0" applyNumberForma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7" applyNumberFormat="0" applyAlignment="0" applyProtection="0"/>
    <xf numFmtId="0" fontId="17" fillId="7" borderId="18" applyNumberFormat="0" applyAlignment="0" applyProtection="0"/>
    <xf numFmtId="0" fontId="18" fillId="7" borderId="17" applyNumberFormat="0" applyAlignment="0" applyProtection="0"/>
    <xf numFmtId="0" fontId="19" fillId="0" borderId="19" applyNumberFormat="0" applyFill="0" applyAlignment="0" applyProtection="0"/>
    <xf numFmtId="0" fontId="20" fillId="8" borderId="2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2" applyNumberFormat="0" applyFill="0" applyAlignment="0" applyProtection="0"/>
    <xf numFmtId="0" fontId="2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4" fillId="33" borderId="0" applyNumberFormat="0" applyBorder="0" applyAlignment="0" applyProtection="0"/>
    <xf numFmtId="0" fontId="2" fillId="0" borderId="0"/>
    <xf numFmtId="0" fontId="2" fillId="9" borderId="21" applyNumberFormat="0" applyFont="0" applyAlignment="0" applyProtection="0"/>
    <xf numFmtId="0" fontId="1" fillId="0" borderId="0"/>
  </cellStyleXfs>
  <cellXfs count="120">
    <xf numFmtId="0" fontId="0" fillId="0" borderId="0" xfId="0"/>
    <xf numFmtId="0" fontId="4" fillId="0" borderId="0" xfId="0" applyFont="1"/>
    <xf numFmtId="0" fontId="4" fillId="0" borderId="1" xfId="0" applyFont="1" applyBorder="1"/>
    <xf numFmtId="0" fontId="6" fillId="0" borderId="0" xfId="0" applyFont="1"/>
    <xf numFmtId="3" fontId="6" fillId="0" borderId="0" xfId="0" applyNumberFormat="1" applyFont="1"/>
    <xf numFmtId="3" fontId="4" fillId="0" borderId="0" xfId="0" applyNumberFormat="1" applyFont="1"/>
    <xf numFmtId="3" fontId="4" fillId="0" borderId="1" xfId="0" applyNumberFormat="1" applyFont="1" applyBorder="1" applyAlignment="1">
      <alignment horizontal="center" wrapText="1"/>
    </xf>
    <xf numFmtId="3" fontId="4" fillId="0" borderId="1" xfId="0" applyNumberFormat="1" applyFont="1" applyBorder="1"/>
    <xf numFmtId="0" fontId="8" fillId="0" borderId="0" xfId="0" applyFont="1"/>
    <xf numFmtId="164" fontId="4" fillId="0" borderId="1" xfId="4" applyNumberFormat="1" applyFont="1" applyBorder="1"/>
    <xf numFmtId="0" fontId="3" fillId="0" borderId="0" xfId="0" applyFont="1"/>
    <xf numFmtId="4" fontId="3" fillId="0" borderId="9" xfId="1" applyNumberFormat="1" applyFill="1" applyBorder="1" applyAlignment="1" applyProtection="1">
      <alignment horizontal="left" vertical="top" wrapText="1"/>
      <protection locked="0"/>
    </xf>
    <xf numFmtId="4" fontId="3" fillId="0" borderId="1" xfId="2" applyNumberFormat="1" applyBorder="1" applyAlignment="1">
      <alignment horizontal="left" vertical="top" wrapText="1"/>
    </xf>
    <xf numFmtId="4" fontId="3" fillId="0" borderId="11" xfId="0" applyNumberFormat="1" applyFont="1" applyBorder="1" applyAlignment="1">
      <alignment vertical="top" wrapText="1"/>
    </xf>
    <xf numFmtId="4" fontId="3" fillId="0" borderId="12" xfId="0" applyNumberFormat="1" applyFont="1" applyBorder="1" applyAlignment="1">
      <alignment vertical="top" wrapText="1"/>
    </xf>
    <xf numFmtId="4" fontId="3" fillId="0" borderId="0" xfId="0" applyNumberFormat="1" applyFont="1" applyAlignment="1">
      <alignment vertical="top" wrapText="1"/>
    </xf>
    <xf numFmtId="165" fontId="3" fillId="0" borderId="0" xfId="0" applyNumberFormat="1" applyFont="1" applyAlignment="1">
      <alignment vertical="top" wrapText="1"/>
    </xf>
    <xf numFmtId="4" fontId="3" fillId="0" borderId="0" xfId="0" applyNumberFormat="1" applyFont="1" applyAlignment="1">
      <alignment horizontal="center" vertical="top" wrapText="1"/>
    </xf>
    <xf numFmtId="4" fontId="4" fillId="0" borderId="0" xfId="0" applyNumberFormat="1" applyFont="1" applyAlignment="1">
      <alignment horizontal="center" vertical="top" wrapText="1"/>
    </xf>
    <xf numFmtId="4" fontId="4" fillId="0" borderId="0" xfId="0" applyNumberFormat="1" applyFont="1" applyAlignment="1">
      <alignment vertical="top" wrapText="1"/>
    </xf>
    <xf numFmtId="0" fontId="0" fillId="0" borderId="0" xfId="0" applyAlignment="1">
      <alignment horizontal="center"/>
    </xf>
    <xf numFmtId="3" fontId="0" fillId="0" borderId="0" xfId="0" applyNumberFormat="1"/>
    <xf numFmtId="4" fontId="4" fillId="0" borderId="6" xfId="3" applyNumberFormat="1" applyFont="1" applyFill="1" applyBorder="1" applyAlignment="1" applyProtection="1">
      <alignment horizontal="center" vertical="top" wrapText="1"/>
      <protection locked="0"/>
    </xf>
    <xf numFmtId="4" fontId="4" fillId="0" borderId="7" xfId="3" applyNumberFormat="1" applyFont="1" applyFill="1" applyBorder="1" applyAlignment="1" applyProtection="1">
      <alignment horizontal="center" vertical="top" wrapText="1"/>
      <protection locked="0"/>
    </xf>
    <xf numFmtId="165" fontId="4" fillId="0" borderId="7" xfId="3" applyNumberFormat="1" applyFont="1" applyFill="1" applyBorder="1" applyAlignment="1" applyProtection="1">
      <alignment horizontal="center" vertical="top" wrapText="1"/>
      <protection locked="0"/>
    </xf>
    <xf numFmtId="4" fontId="4" fillId="0" borderId="8" xfId="0" applyNumberFormat="1" applyFont="1" applyBorder="1" applyAlignment="1">
      <alignment horizontal="center" vertical="top" wrapText="1"/>
    </xf>
    <xf numFmtId="4" fontId="3" fillId="0" borderId="12" xfId="3" applyNumberFormat="1" applyFill="1" applyBorder="1" applyAlignment="1" applyProtection="1">
      <alignment horizontal="left" vertical="top" wrapText="1"/>
      <protection locked="0"/>
    </xf>
    <xf numFmtId="165" fontId="3" fillId="0" borderId="0" xfId="0" applyNumberFormat="1" applyFont="1" applyAlignment="1">
      <alignment horizontal="center" vertical="top" wrapText="1"/>
    </xf>
    <xf numFmtId="165" fontId="3" fillId="0" borderId="1" xfId="3" applyNumberFormat="1" applyFill="1" applyBorder="1" applyAlignment="1" applyProtection="1">
      <alignment horizontal="center" vertical="top" wrapText="1"/>
      <protection locked="0"/>
    </xf>
    <xf numFmtId="165" fontId="3" fillId="0" borderId="1" xfId="0" applyNumberFormat="1" applyFont="1" applyBorder="1" applyAlignment="1">
      <alignment horizontal="center" vertical="top" wrapText="1"/>
    </xf>
    <xf numFmtId="4" fontId="3" fillId="0" borderId="0" xfId="0" applyNumberFormat="1" applyFont="1" applyAlignment="1">
      <alignment vertical="top"/>
    </xf>
    <xf numFmtId="0" fontId="0" fillId="0" borderId="9" xfId="0" applyBorder="1" applyAlignment="1">
      <alignment horizontal="center"/>
    </xf>
    <xf numFmtId="3" fontId="0" fillId="0" borderId="10" xfId="0" applyNumberFormat="1" applyBorder="1" applyAlignment="1">
      <alignment horizontal="center"/>
    </xf>
    <xf numFmtId="0" fontId="0" fillId="0" borderId="11" xfId="0" applyBorder="1" applyAlignment="1">
      <alignment horizontal="center"/>
    </xf>
    <xf numFmtId="3" fontId="0" fillId="0" borderId="13" xfId="0" applyNumberFormat="1" applyBorder="1" applyAlignment="1">
      <alignment horizontal="center"/>
    </xf>
    <xf numFmtId="0" fontId="8" fillId="0" borderId="0" xfId="0" applyFont="1" applyAlignment="1">
      <alignment horizontal="left"/>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0" fillId="0" borderId="6" xfId="0" applyBorder="1" applyAlignment="1">
      <alignment horizontal="center"/>
    </xf>
    <xf numFmtId="3" fontId="0" fillId="0" borderId="8" xfId="0" applyNumberFormat="1" applyBorder="1" applyAlignment="1">
      <alignment horizontal="center"/>
    </xf>
    <xf numFmtId="0" fontId="3" fillId="0" borderId="25" xfId="0" applyFont="1" applyBorder="1" applyAlignment="1">
      <alignment vertical="center" wrapText="1"/>
    </xf>
    <xf numFmtId="0" fontId="25" fillId="0" borderId="0" xfId="0" applyFont="1" applyAlignment="1">
      <alignment vertical="top" wrapText="1"/>
    </xf>
    <xf numFmtId="165" fontId="4" fillId="0" borderId="0" xfId="0" applyNumberFormat="1" applyFont="1" applyAlignment="1">
      <alignment horizontal="center" vertical="center" wrapText="1"/>
    </xf>
    <xf numFmtId="165" fontId="3" fillId="0" borderId="0" xfId="0" applyNumberFormat="1" applyFont="1" applyAlignment="1">
      <alignment horizontal="left" vertical="top"/>
    </xf>
    <xf numFmtId="165" fontId="3" fillId="0" borderId="10" xfId="3" applyNumberFormat="1" applyFill="1" applyBorder="1" applyAlignment="1" applyProtection="1">
      <alignment horizontal="center" vertical="top" wrapText="1"/>
      <protection locked="0"/>
    </xf>
    <xf numFmtId="165" fontId="3" fillId="0" borderId="12" xfId="0" applyNumberFormat="1" applyFont="1" applyBorder="1" applyAlignment="1">
      <alignment horizontal="center" vertical="top" wrapText="1"/>
    </xf>
    <xf numFmtId="165" fontId="3" fillId="0" borderId="12" xfId="3" applyNumberFormat="1" applyFill="1" applyBorder="1" applyAlignment="1" applyProtection="1">
      <alignment horizontal="center" vertical="top" wrapText="1"/>
      <protection locked="0"/>
    </xf>
    <xf numFmtId="0" fontId="4" fillId="0" borderId="6" xfId="0" applyFont="1" applyBorder="1" applyAlignment="1">
      <alignment horizontal="left" vertical="center"/>
    </xf>
    <xf numFmtId="3" fontId="4" fillId="0" borderId="7" xfId="0" applyNumberFormat="1" applyFont="1" applyBorder="1" applyAlignment="1">
      <alignment horizontal="center" vertical="top" wrapText="1"/>
    </xf>
    <xf numFmtId="3" fontId="4" fillId="0" borderId="8" xfId="0" applyNumberFormat="1" applyFont="1" applyBorder="1" applyAlignment="1">
      <alignment horizontal="center" vertical="top" wrapText="1"/>
    </xf>
    <xf numFmtId="0" fontId="4" fillId="0" borderId="9" xfId="0" applyFont="1" applyBorder="1"/>
    <xf numFmtId="164" fontId="4" fillId="0" borderId="10" xfId="4" applyNumberFormat="1" applyFont="1" applyBorder="1"/>
    <xf numFmtId="0" fontId="4" fillId="0" borderId="11" xfId="0" applyFont="1" applyBorder="1"/>
    <xf numFmtId="3" fontId="4" fillId="0" borderId="12" xfId="0" applyNumberFormat="1" applyFont="1" applyBorder="1"/>
    <xf numFmtId="164" fontId="4" fillId="0" borderId="13" xfId="4" applyNumberFormat="1" applyFont="1" applyBorder="1"/>
    <xf numFmtId="165" fontId="3" fillId="0" borderId="13" xfId="3" applyNumberFormat="1" applyFill="1" applyBorder="1" applyAlignment="1" applyProtection="1">
      <alignment horizontal="center" vertical="top" wrapText="1"/>
      <protection locked="0"/>
    </xf>
    <xf numFmtId="165" fontId="4" fillId="0" borderId="0" xfId="0" applyNumberFormat="1" applyFont="1" applyAlignment="1">
      <alignment horizontal="center" vertical="top" wrapText="1"/>
    </xf>
    <xf numFmtId="4" fontId="4" fillId="0" borderId="8" xfId="0" applyNumberFormat="1" applyFont="1" applyBorder="1" applyAlignment="1">
      <alignment horizontal="center" vertical="center" wrapText="1"/>
    </xf>
    <xf numFmtId="0" fontId="27" fillId="0" borderId="0" xfId="0" applyFont="1"/>
    <xf numFmtId="3" fontId="4" fillId="0" borderId="34" xfId="0" applyNumberFormat="1" applyFont="1" applyBorder="1"/>
    <xf numFmtId="0" fontId="0" fillId="0" borderId="1" xfId="0" applyBorder="1"/>
    <xf numFmtId="0" fontId="0" fillId="0" borderId="27" xfId="0" applyBorder="1" applyAlignment="1">
      <alignment horizontal="center" vertical="center" wrapText="1"/>
    </xf>
    <xf numFmtId="0" fontId="4" fillId="0" borderId="29" xfId="0" applyFont="1" applyBorder="1" applyAlignment="1">
      <alignment vertical="top"/>
    </xf>
    <xf numFmtId="0" fontId="4" fillId="0" borderId="35" xfId="0" applyFont="1" applyBorder="1" applyAlignment="1">
      <alignment horizontal="left" vertical="center"/>
    </xf>
    <xf numFmtId="0" fontId="4" fillId="0" borderId="36" xfId="0" applyFont="1" applyBorder="1" applyAlignment="1">
      <alignment horizontal="left" vertical="center"/>
    </xf>
    <xf numFmtId="4" fontId="28" fillId="0" borderId="0" xfId="0" applyNumberFormat="1" applyFont="1" applyAlignment="1">
      <alignment vertical="top" wrapText="1"/>
    </xf>
    <xf numFmtId="44" fontId="4" fillId="34" borderId="23" xfId="4" applyFont="1" applyFill="1" applyBorder="1" applyAlignment="1">
      <alignment horizontal="center" vertical="center" wrapText="1"/>
    </xf>
    <xf numFmtId="0" fontId="4" fillId="34" borderId="28" xfId="0" applyFont="1" applyFill="1" applyBorder="1" applyAlignment="1">
      <alignment horizontal="center" vertical="center" wrapText="1"/>
    </xf>
    <xf numFmtId="44" fontId="4" fillId="34" borderId="28" xfId="4" applyFont="1" applyFill="1" applyBorder="1" applyAlignment="1">
      <alignment horizontal="center" vertical="center" wrapText="1"/>
    </xf>
    <xf numFmtId="0" fontId="4" fillId="34" borderId="24" xfId="0" applyFont="1" applyFill="1" applyBorder="1" applyAlignment="1">
      <alignment horizontal="center" vertical="center" wrapText="1"/>
    </xf>
    <xf numFmtId="0" fontId="26" fillId="0" borderId="0" xfId="0" applyFont="1"/>
    <xf numFmtId="164" fontId="3" fillId="0" borderId="1" xfId="4" applyNumberFormat="1" applyFont="1" applyBorder="1"/>
    <xf numFmtId="0" fontId="3" fillId="0" borderId="1" xfId="0" applyFont="1" applyBorder="1" applyAlignment="1">
      <alignment vertical="center" wrapText="1"/>
    </xf>
    <xf numFmtId="4" fontId="3" fillId="0" borderId="1" xfId="3" applyNumberFormat="1" applyFill="1" applyBorder="1" applyAlignment="1" applyProtection="1">
      <alignment vertical="top" wrapText="1"/>
      <protection locked="0"/>
    </xf>
    <xf numFmtId="4" fontId="3" fillId="0" borderId="1" xfId="3" applyNumberFormat="1" applyFill="1" applyBorder="1" applyAlignment="1" applyProtection="1">
      <alignment horizontal="left" vertical="top" wrapTex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165" fontId="3" fillId="0" borderId="9" xfId="3" applyNumberFormat="1" applyFill="1" applyBorder="1" applyAlignment="1" applyProtection="1">
      <alignment horizontal="center" vertical="top" wrapText="1"/>
      <protection locked="0"/>
    </xf>
    <xf numFmtId="165" fontId="3" fillId="0" borderId="11" xfId="3" applyNumberFormat="1" applyFill="1" applyBorder="1" applyAlignment="1" applyProtection="1">
      <alignment horizontal="center" vertical="top" wrapText="1"/>
      <protection locked="0"/>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30" xfId="0" applyFont="1" applyBorder="1" applyAlignment="1">
      <alignment horizontal="center" vertical="top"/>
    </xf>
    <xf numFmtId="0" fontId="4" fillId="0" borderId="1" xfId="0" applyFont="1" applyBorder="1" applyAlignment="1">
      <alignment horizontal="center" vertical="top"/>
    </xf>
    <xf numFmtId="3" fontId="3" fillId="0" borderId="0" xfId="0" applyNumberFormat="1" applyFont="1"/>
    <xf numFmtId="3" fontId="3" fillId="0" borderId="1" xfId="0" applyNumberFormat="1" applyFont="1" applyBorder="1"/>
    <xf numFmtId="164" fontId="3" fillId="0" borderId="0" xfId="0" applyNumberFormat="1" applyFont="1"/>
    <xf numFmtId="0" fontId="3" fillId="0" borderId="2" xfId="0" applyFont="1" applyBorder="1"/>
    <xf numFmtId="3" fontId="3" fillId="0" borderId="2" xfId="0" applyNumberFormat="1" applyFont="1" applyBorder="1"/>
    <xf numFmtId="0" fontId="3" fillId="0" borderId="1" xfId="0" applyFont="1" applyBorder="1"/>
    <xf numFmtId="3" fontId="3" fillId="0" borderId="33" xfId="0" applyNumberFormat="1" applyFont="1" applyBorder="1"/>
    <xf numFmtId="41" fontId="3" fillId="0" borderId="1" xfId="4" applyNumberFormat="1" applyFont="1" applyBorder="1"/>
    <xf numFmtId="41" fontId="3" fillId="0" borderId="1" xfId="0" applyNumberFormat="1" applyFont="1" applyBorder="1"/>
    <xf numFmtId="0" fontId="3" fillId="0" borderId="9" xfId="0" applyFont="1" applyBorder="1"/>
    <xf numFmtId="0" fontId="4" fillId="0" borderId="30" xfId="0" applyFont="1" applyBorder="1" applyAlignment="1">
      <alignment horizontal="center" vertical="top"/>
    </xf>
    <xf numFmtId="0" fontId="4" fillId="0" borderId="37" xfId="0" applyFont="1" applyBorder="1" applyAlignment="1">
      <alignment horizontal="center" vertical="top"/>
    </xf>
    <xf numFmtId="0" fontId="4" fillId="0" borderId="27"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xf>
    <xf numFmtId="0" fontId="4" fillId="0" borderId="1" xfId="0" applyFont="1" applyBorder="1" applyAlignment="1">
      <alignment horizontal="left"/>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3" fontId="4" fillId="2" borderId="3" xfId="0" applyNumberFormat="1" applyFont="1" applyFill="1" applyBorder="1" applyAlignment="1" applyProtection="1">
      <alignment horizontal="center"/>
      <protection locked="0"/>
    </xf>
    <xf numFmtId="0" fontId="4" fillId="2" borderId="4" xfId="0" applyFont="1" applyFill="1" applyBorder="1" applyProtection="1">
      <protection locked="0"/>
    </xf>
    <xf numFmtId="0" fontId="4" fillId="2" borderId="5" xfId="0" applyFont="1" applyFill="1" applyBorder="1" applyProtection="1">
      <protection locked="0"/>
    </xf>
    <xf numFmtId="0" fontId="3" fillId="0" borderId="1" xfId="0" applyFont="1" applyBorder="1" applyAlignment="1">
      <alignment horizontal="left" vertical="top" wrapText="1"/>
    </xf>
    <xf numFmtId="44" fontId="4" fillId="0" borderId="31" xfId="4" applyFont="1" applyFill="1" applyBorder="1" applyAlignment="1">
      <alignment horizontal="center" vertical="center" wrapText="1"/>
    </xf>
    <xf numFmtId="44" fontId="4" fillId="0" borderId="32" xfId="4" applyFont="1" applyFill="1" applyBorder="1" applyAlignment="1">
      <alignment horizontal="center" vertical="center" wrapText="1"/>
    </xf>
    <xf numFmtId="44" fontId="4" fillId="0" borderId="26" xfId="4" applyFont="1" applyFill="1" applyBorder="1" applyAlignment="1">
      <alignment horizontal="center" vertical="center" wrapText="1"/>
    </xf>
    <xf numFmtId="0" fontId="3" fillId="0" borderId="0" xfId="0" applyFont="1" applyAlignment="1">
      <alignment horizontal="left" vertical="top" wrapText="1"/>
    </xf>
    <xf numFmtId="3" fontId="4" fillId="2" borderId="4" xfId="0" applyNumberFormat="1" applyFont="1" applyFill="1" applyBorder="1" applyAlignment="1" applyProtection="1">
      <alignment horizontal="center"/>
      <protection locked="0"/>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urrency" xfId="4" builtinId="4"/>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xr:uid="{00000000-0005-0000-0000-000026000000}"/>
    <cellStyle name="Normal 5" xfId="47" xr:uid="{00000000-0005-0000-0000-000027000000}"/>
    <cellStyle name="normal_LMSS9901" xfId="1" xr:uid="{00000000-0005-0000-0000-000028000000}"/>
    <cellStyle name="Normal_Special Schools Funding 2012-13 (sent out 19-03-12)" xfId="2" xr:uid="{00000000-0005-0000-0000-000029000000}"/>
    <cellStyle name="normal_SRP 2009-10 19-02-09_1" xfId="3" xr:uid="{00000000-0005-0000-0000-00002A000000}"/>
    <cellStyle name="Note 2" xfId="46" xr:uid="{00000000-0005-0000-0000-00002B000000}"/>
    <cellStyle name="Output" xfId="14" builtinId="21" customBuiltin="1"/>
    <cellStyle name="Title" xfId="5" builtinId="15" customBuiltin="1"/>
    <cellStyle name="Total" xfId="20" builtinId="25" customBuiltin="1"/>
    <cellStyle name="Warning Text" xfId="18" builtinId="11" customBuiltin="1"/>
  </cellStyles>
  <dxfs count="6">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rgb="FF000000"/>
          <bgColor rgb="FFFFFFFF"/>
        </patternFill>
      </fill>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14</xdr:row>
      <xdr:rowOff>104775</xdr:rowOff>
    </xdr:from>
    <xdr:to>
      <xdr:col>3</xdr:col>
      <xdr:colOff>419100</xdr:colOff>
      <xdr:row>15</xdr:row>
      <xdr:rowOff>142875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905250" y="5476875"/>
          <a:ext cx="76200" cy="200025"/>
        </a:xfrm>
        <a:prstGeom prst="rect">
          <a:avLst/>
        </a:prstGeom>
        <a:noFill/>
        <a:ln w="9525">
          <a:noFill/>
          <a:miter lim="800000"/>
          <a:headEnd/>
          <a:tailEnd/>
        </a:ln>
      </xdr:spPr>
    </xdr:sp>
    <xdr:clientData/>
  </xdr:twoCellAnchor>
  <xdr:twoCellAnchor editAs="oneCell">
    <xdr:from>
      <xdr:col>7</xdr:col>
      <xdr:colOff>0</xdr:colOff>
      <xdr:row>14</xdr:row>
      <xdr:rowOff>104775</xdr:rowOff>
    </xdr:from>
    <xdr:to>
      <xdr:col>7</xdr:col>
      <xdr:colOff>76200</xdr:colOff>
      <xdr:row>15</xdr:row>
      <xdr:rowOff>123825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6677025" y="5476875"/>
          <a:ext cx="76200" cy="1809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311150</xdr:colOff>
      <xdr:row>15</xdr:row>
      <xdr:rowOff>38100</xdr:rowOff>
    </xdr:from>
    <xdr:to>
      <xdr:col>11</xdr:col>
      <xdr:colOff>387350</xdr:colOff>
      <xdr:row>16</xdr:row>
      <xdr:rowOff>79375</xdr:rowOff>
    </xdr:to>
    <xdr:sp macro="" textlink="">
      <xdr:nvSpPr>
        <xdr:cNvPr id="2082" name="Text Box 1">
          <a:extLst>
            <a:ext uri="{FF2B5EF4-FFF2-40B4-BE49-F238E27FC236}">
              <a16:creationId xmlns:a16="http://schemas.microsoft.com/office/drawing/2014/main" id="{00000000-0008-0000-0400-000022080000}"/>
            </a:ext>
          </a:extLst>
        </xdr:cNvPr>
        <xdr:cNvSpPr txBox="1">
          <a:spLocks noChangeArrowheads="1"/>
        </xdr:cNvSpPr>
      </xdr:nvSpPr>
      <xdr:spPr bwMode="auto">
        <a:xfrm>
          <a:off x="11156950" y="6057900"/>
          <a:ext cx="76200" cy="196850"/>
        </a:xfrm>
        <a:prstGeom prst="rect">
          <a:avLst/>
        </a:prstGeom>
        <a:noFill/>
        <a:ln w="9525">
          <a:noFill/>
          <a:miter lim="800000"/>
          <a:headEnd/>
          <a:tailEnd/>
        </a:ln>
      </xdr:spPr>
    </xdr:sp>
    <xdr:clientData/>
  </xdr:twoCellAnchor>
  <xdr:twoCellAnchor editAs="oneCell">
    <xdr:from>
      <xdr:col>12</xdr:col>
      <xdr:colOff>12700</xdr:colOff>
      <xdr:row>5</xdr:row>
      <xdr:rowOff>107950</xdr:rowOff>
    </xdr:from>
    <xdr:to>
      <xdr:col>12</xdr:col>
      <xdr:colOff>88900</xdr:colOff>
      <xdr:row>6</xdr:row>
      <xdr:rowOff>130175</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2992100" y="1492250"/>
          <a:ext cx="76200" cy="177800"/>
        </a:xfrm>
        <a:prstGeom prst="rect">
          <a:avLst/>
        </a:prstGeom>
        <a:noFill/>
        <a:ln w="9525">
          <a:noFill/>
          <a:miter lim="800000"/>
          <a:headEnd/>
          <a:tailEnd/>
        </a:ln>
      </xdr:spPr>
    </xdr:sp>
    <xdr:clientData/>
  </xdr:twoCellAnchor>
  <xdr:oneCellAnchor>
    <xdr:from>
      <xdr:col>11</xdr:col>
      <xdr:colOff>438150</xdr:colOff>
      <xdr:row>7</xdr:row>
      <xdr:rowOff>146050</xdr:rowOff>
    </xdr:from>
    <xdr:ext cx="76200" cy="196850"/>
    <xdr:sp macro="" textlink="">
      <xdr:nvSpPr>
        <xdr:cNvPr id="4" name="Text Box 1">
          <a:extLst>
            <a:ext uri="{FF2B5EF4-FFF2-40B4-BE49-F238E27FC236}">
              <a16:creationId xmlns:a16="http://schemas.microsoft.com/office/drawing/2014/main" id="{96B03C11-FBDB-4257-94CF-A42F1AC6662D}"/>
            </a:ext>
          </a:extLst>
        </xdr:cNvPr>
        <xdr:cNvSpPr txBox="1">
          <a:spLocks noChangeArrowheads="1"/>
        </xdr:cNvSpPr>
      </xdr:nvSpPr>
      <xdr:spPr bwMode="auto">
        <a:xfrm>
          <a:off x="11283950" y="4845050"/>
          <a:ext cx="76200" cy="196850"/>
        </a:xfrm>
        <a:prstGeom prst="rect">
          <a:avLst/>
        </a:prstGeom>
        <a:noFill/>
        <a:ln w="9525">
          <a:noFill/>
          <a:miter lim="800000"/>
          <a:headEnd/>
          <a:tailEnd/>
        </a:ln>
      </xdr:spPr>
    </xdr:sp>
    <xdr:clientData/>
  </xdr:oneCellAnchor>
  <xdr:oneCellAnchor>
    <xdr:from>
      <xdr:col>11</xdr:col>
      <xdr:colOff>342900</xdr:colOff>
      <xdr:row>6</xdr:row>
      <xdr:rowOff>0</xdr:rowOff>
    </xdr:from>
    <xdr:ext cx="76200" cy="196850"/>
    <xdr:sp macro="" textlink="">
      <xdr:nvSpPr>
        <xdr:cNvPr id="5" name="Text Box 1">
          <a:extLst>
            <a:ext uri="{FF2B5EF4-FFF2-40B4-BE49-F238E27FC236}">
              <a16:creationId xmlns:a16="http://schemas.microsoft.com/office/drawing/2014/main" id="{1FD5D656-AA5B-4702-80FB-A84559406289}"/>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7</xdr:row>
      <xdr:rowOff>0</xdr:rowOff>
    </xdr:from>
    <xdr:ext cx="76200" cy="196850"/>
    <xdr:sp macro="" textlink="">
      <xdr:nvSpPr>
        <xdr:cNvPr id="6" name="Text Box 1">
          <a:extLst>
            <a:ext uri="{FF2B5EF4-FFF2-40B4-BE49-F238E27FC236}">
              <a16:creationId xmlns:a16="http://schemas.microsoft.com/office/drawing/2014/main" id="{AC83D2AF-82B1-4DDC-B451-C0B294B11D65}"/>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8</xdr:row>
      <xdr:rowOff>0</xdr:rowOff>
    </xdr:from>
    <xdr:ext cx="76200" cy="196850"/>
    <xdr:sp macro="" textlink="">
      <xdr:nvSpPr>
        <xdr:cNvPr id="7" name="Text Box 1">
          <a:extLst>
            <a:ext uri="{FF2B5EF4-FFF2-40B4-BE49-F238E27FC236}">
              <a16:creationId xmlns:a16="http://schemas.microsoft.com/office/drawing/2014/main" id="{943AB750-4317-4E7E-947A-2300F8481B0D}"/>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9</xdr:row>
      <xdr:rowOff>0</xdr:rowOff>
    </xdr:from>
    <xdr:ext cx="76200" cy="196850"/>
    <xdr:sp macro="" textlink="">
      <xdr:nvSpPr>
        <xdr:cNvPr id="8" name="Text Box 1">
          <a:extLst>
            <a:ext uri="{FF2B5EF4-FFF2-40B4-BE49-F238E27FC236}">
              <a16:creationId xmlns:a16="http://schemas.microsoft.com/office/drawing/2014/main" id="{DEAFCF8D-2A9C-4D8F-8215-CE536E3B6F6B}"/>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10</xdr:row>
      <xdr:rowOff>0</xdr:rowOff>
    </xdr:from>
    <xdr:ext cx="76200" cy="196850"/>
    <xdr:sp macro="" textlink="">
      <xdr:nvSpPr>
        <xdr:cNvPr id="9" name="Text Box 1">
          <a:extLst>
            <a:ext uri="{FF2B5EF4-FFF2-40B4-BE49-F238E27FC236}">
              <a16:creationId xmlns:a16="http://schemas.microsoft.com/office/drawing/2014/main" id="{66CD8F4B-31D9-4B39-ABFA-BA4737290589}"/>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11</xdr:row>
      <xdr:rowOff>0</xdr:rowOff>
    </xdr:from>
    <xdr:ext cx="76200" cy="196850"/>
    <xdr:sp macro="" textlink="">
      <xdr:nvSpPr>
        <xdr:cNvPr id="10" name="Text Box 1">
          <a:extLst>
            <a:ext uri="{FF2B5EF4-FFF2-40B4-BE49-F238E27FC236}">
              <a16:creationId xmlns:a16="http://schemas.microsoft.com/office/drawing/2014/main" id="{935EC597-C586-4490-BCF5-00B2050D7755}"/>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12</xdr:row>
      <xdr:rowOff>0</xdr:rowOff>
    </xdr:from>
    <xdr:ext cx="76200" cy="196850"/>
    <xdr:sp macro="" textlink="">
      <xdr:nvSpPr>
        <xdr:cNvPr id="11" name="Text Box 1">
          <a:extLst>
            <a:ext uri="{FF2B5EF4-FFF2-40B4-BE49-F238E27FC236}">
              <a16:creationId xmlns:a16="http://schemas.microsoft.com/office/drawing/2014/main" id="{BAEE3910-6591-4B4A-A719-CFBAEDFA4262}"/>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13</xdr:row>
      <xdr:rowOff>0</xdr:rowOff>
    </xdr:from>
    <xdr:ext cx="76200" cy="196850"/>
    <xdr:sp macro="" textlink="">
      <xdr:nvSpPr>
        <xdr:cNvPr id="12" name="Text Box 1">
          <a:extLst>
            <a:ext uri="{FF2B5EF4-FFF2-40B4-BE49-F238E27FC236}">
              <a16:creationId xmlns:a16="http://schemas.microsoft.com/office/drawing/2014/main" id="{9CD1B9D2-88BA-40DC-9FBC-CDBC39CB715F}"/>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14</xdr:row>
      <xdr:rowOff>0</xdr:rowOff>
    </xdr:from>
    <xdr:ext cx="76200" cy="196850"/>
    <xdr:sp macro="" textlink="">
      <xdr:nvSpPr>
        <xdr:cNvPr id="13" name="Text Box 1">
          <a:extLst>
            <a:ext uri="{FF2B5EF4-FFF2-40B4-BE49-F238E27FC236}">
              <a16:creationId xmlns:a16="http://schemas.microsoft.com/office/drawing/2014/main" id="{810BFBB4-DBB0-4F8E-ACA6-2E74F130CCCE}"/>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15</xdr:row>
      <xdr:rowOff>0</xdr:rowOff>
    </xdr:from>
    <xdr:ext cx="76200" cy="196850"/>
    <xdr:sp macro="" textlink="">
      <xdr:nvSpPr>
        <xdr:cNvPr id="14" name="Text Box 1">
          <a:extLst>
            <a:ext uri="{FF2B5EF4-FFF2-40B4-BE49-F238E27FC236}">
              <a16:creationId xmlns:a16="http://schemas.microsoft.com/office/drawing/2014/main" id="{EC02D3D3-BB50-4FC7-8360-9652CD7E2E0B}"/>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16</xdr:row>
      <xdr:rowOff>0</xdr:rowOff>
    </xdr:from>
    <xdr:ext cx="76200" cy="196850"/>
    <xdr:sp macro="" textlink="">
      <xdr:nvSpPr>
        <xdr:cNvPr id="15" name="Text Box 1">
          <a:extLst>
            <a:ext uri="{FF2B5EF4-FFF2-40B4-BE49-F238E27FC236}">
              <a16:creationId xmlns:a16="http://schemas.microsoft.com/office/drawing/2014/main" id="{6C2FA5E2-23CE-441F-A98B-BD502B3B37B0}"/>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11</xdr:col>
      <xdr:colOff>342900</xdr:colOff>
      <xdr:row>17</xdr:row>
      <xdr:rowOff>0</xdr:rowOff>
    </xdr:from>
    <xdr:ext cx="76200" cy="196850"/>
    <xdr:sp macro="" textlink="">
      <xdr:nvSpPr>
        <xdr:cNvPr id="16" name="Text Box 1">
          <a:extLst>
            <a:ext uri="{FF2B5EF4-FFF2-40B4-BE49-F238E27FC236}">
              <a16:creationId xmlns:a16="http://schemas.microsoft.com/office/drawing/2014/main" id="{F6B57E5E-0747-47AD-A76C-0DD618EDD95B}"/>
            </a:ext>
          </a:extLst>
        </xdr:cNvPr>
        <xdr:cNvSpPr txBox="1">
          <a:spLocks noChangeArrowheads="1"/>
        </xdr:cNvSpPr>
      </xdr:nvSpPr>
      <xdr:spPr bwMode="auto">
        <a:xfrm>
          <a:off x="11188700" y="4203700"/>
          <a:ext cx="76200" cy="196850"/>
        </a:xfrm>
        <a:prstGeom prst="rect">
          <a:avLst/>
        </a:prstGeom>
        <a:noFill/>
        <a:ln w="9525">
          <a:noFill/>
          <a:miter lim="800000"/>
          <a:headEnd/>
          <a:tailEnd/>
        </a:ln>
      </xdr:spPr>
    </xdr:sp>
    <xdr:clientData/>
  </xdr:oneCellAnchor>
  <xdr:oneCellAnchor>
    <xdr:from>
      <xdr:col>12</xdr:col>
      <xdr:colOff>0</xdr:colOff>
      <xdr:row>6</xdr:row>
      <xdr:rowOff>0</xdr:rowOff>
    </xdr:from>
    <xdr:ext cx="76200" cy="177800"/>
    <xdr:sp macro="" textlink="">
      <xdr:nvSpPr>
        <xdr:cNvPr id="18" name="Text Box 1">
          <a:extLst>
            <a:ext uri="{FF2B5EF4-FFF2-40B4-BE49-F238E27FC236}">
              <a16:creationId xmlns:a16="http://schemas.microsoft.com/office/drawing/2014/main" id="{59C7801D-6501-42C5-8DD1-F544E9870033}"/>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7</xdr:row>
      <xdr:rowOff>0</xdr:rowOff>
    </xdr:from>
    <xdr:ext cx="76200" cy="177800"/>
    <xdr:sp macro="" textlink="">
      <xdr:nvSpPr>
        <xdr:cNvPr id="19" name="Text Box 1">
          <a:extLst>
            <a:ext uri="{FF2B5EF4-FFF2-40B4-BE49-F238E27FC236}">
              <a16:creationId xmlns:a16="http://schemas.microsoft.com/office/drawing/2014/main" id="{A1816A85-B6DE-4750-A60D-9853EB3C003D}"/>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10</xdr:row>
      <xdr:rowOff>0</xdr:rowOff>
    </xdr:from>
    <xdr:ext cx="76200" cy="177800"/>
    <xdr:sp macro="" textlink="">
      <xdr:nvSpPr>
        <xdr:cNvPr id="22" name="Text Box 1">
          <a:extLst>
            <a:ext uri="{FF2B5EF4-FFF2-40B4-BE49-F238E27FC236}">
              <a16:creationId xmlns:a16="http://schemas.microsoft.com/office/drawing/2014/main" id="{42B45037-9765-431C-871D-F0A74173AA53}"/>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11</xdr:row>
      <xdr:rowOff>0</xdr:rowOff>
    </xdr:from>
    <xdr:ext cx="76200" cy="177800"/>
    <xdr:sp macro="" textlink="">
      <xdr:nvSpPr>
        <xdr:cNvPr id="23" name="Text Box 1">
          <a:extLst>
            <a:ext uri="{FF2B5EF4-FFF2-40B4-BE49-F238E27FC236}">
              <a16:creationId xmlns:a16="http://schemas.microsoft.com/office/drawing/2014/main" id="{FEF84D5E-85F8-4DD1-9E26-2198D54A09FE}"/>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12</xdr:row>
      <xdr:rowOff>0</xdr:rowOff>
    </xdr:from>
    <xdr:ext cx="76200" cy="177800"/>
    <xdr:sp macro="" textlink="">
      <xdr:nvSpPr>
        <xdr:cNvPr id="24" name="Text Box 1">
          <a:extLst>
            <a:ext uri="{FF2B5EF4-FFF2-40B4-BE49-F238E27FC236}">
              <a16:creationId xmlns:a16="http://schemas.microsoft.com/office/drawing/2014/main" id="{7961B41A-2F9D-4AA2-B2AB-241A9DB27BB3}"/>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13</xdr:row>
      <xdr:rowOff>0</xdr:rowOff>
    </xdr:from>
    <xdr:ext cx="76200" cy="177800"/>
    <xdr:sp macro="" textlink="">
      <xdr:nvSpPr>
        <xdr:cNvPr id="25" name="Text Box 1">
          <a:extLst>
            <a:ext uri="{FF2B5EF4-FFF2-40B4-BE49-F238E27FC236}">
              <a16:creationId xmlns:a16="http://schemas.microsoft.com/office/drawing/2014/main" id="{E0F4F630-C01E-4093-8DA9-BC9068B57CDF}"/>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14</xdr:row>
      <xdr:rowOff>0</xdr:rowOff>
    </xdr:from>
    <xdr:ext cx="76200" cy="177800"/>
    <xdr:sp macro="" textlink="">
      <xdr:nvSpPr>
        <xdr:cNvPr id="26" name="Text Box 1">
          <a:extLst>
            <a:ext uri="{FF2B5EF4-FFF2-40B4-BE49-F238E27FC236}">
              <a16:creationId xmlns:a16="http://schemas.microsoft.com/office/drawing/2014/main" id="{5BF1A3E4-A051-48F3-BB63-9F29EF8BE611}"/>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15</xdr:row>
      <xdr:rowOff>0</xdr:rowOff>
    </xdr:from>
    <xdr:ext cx="76200" cy="177800"/>
    <xdr:sp macro="" textlink="">
      <xdr:nvSpPr>
        <xdr:cNvPr id="27" name="Text Box 1">
          <a:extLst>
            <a:ext uri="{FF2B5EF4-FFF2-40B4-BE49-F238E27FC236}">
              <a16:creationId xmlns:a16="http://schemas.microsoft.com/office/drawing/2014/main" id="{97294F11-BB03-41FD-863A-D9671188C632}"/>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16</xdr:row>
      <xdr:rowOff>0</xdr:rowOff>
    </xdr:from>
    <xdr:ext cx="76200" cy="177800"/>
    <xdr:sp macro="" textlink="">
      <xdr:nvSpPr>
        <xdr:cNvPr id="28" name="Text Box 1">
          <a:extLst>
            <a:ext uri="{FF2B5EF4-FFF2-40B4-BE49-F238E27FC236}">
              <a16:creationId xmlns:a16="http://schemas.microsoft.com/office/drawing/2014/main" id="{B7527319-EA4A-43B7-AA37-43EB92C6EE34}"/>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17</xdr:row>
      <xdr:rowOff>0</xdr:rowOff>
    </xdr:from>
    <xdr:ext cx="76200" cy="177800"/>
    <xdr:sp macro="" textlink="">
      <xdr:nvSpPr>
        <xdr:cNvPr id="29" name="Text Box 1">
          <a:extLst>
            <a:ext uri="{FF2B5EF4-FFF2-40B4-BE49-F238E27FC236}">
              <a16:creationId xmlns:a16="http://schemas.microsoft.com/office/drawing/2014/main" id="{EFDDD66B-1F24-45BB-B5B2-FEDD6D076A2C}"/>
            </a:ext>
          </a:extLst>
        </xdr:cNvPr>
        <xdr:cNvSpPr txBox="1">
          <a:spLocks noChangeArrowheads="1"/>
        </xdr:cNvSpPr>
      </xdr:nvSpPr>
      <xdr:spPr bwMode="auto">
        <a:xfrm>
          <a:off x="12979400" y="4203700"/>
          <a:ext cx="76200" cy="177800"/>
        </a:xfrm>
        <a:prstGeom prst="rect">
          <a:avLst/>
        </a:prstGeom>
        <a:noFill/>
        <a:ln w="9525">
          <a:noFill/>
          <a:miter lim="800000"/>
          <a:headEnd/>
          <a:tailEnd/>
        </a:ln>
      </xdr:spPr>
    </xdr:sp>
    <xdr:clientData/>
  </xdr:oneCellAnchor>
  <xdr:oneCellAnchor>
    <xdr:from>
      <xdr:col>12</xdr:col>
      <xdr:colOff>0</xdr:colOff>
      <xdr:row>21</xdr:row>
      <xdr:rowOff>0</xdr:rowOff>
    </xdr:from>
    <xdr:ext cx="76200" cy="196850"/>
    <xdr:sp macro="" textlink="">
      <xdr:nvSpPr>
        <xdr:cNvPr id="30" name="Text Box 1">
          <a:extLst>
            <a:ext uri="{FF2B5EF4-FFF2-40B4-BE49-F238E27FC236}">
              <a16:creationId xmlns:a16="http://schemas.microsoft.com/office/drawing/2014/main" id="{F7798D7E-F37F-41A2-811A-621526772C1A}"/>
            </a:ext>
          </a:extLst>
        </xdr:cNvPr>
        <xdr:cNvSpPr txBox="1">
          <a:spLocks noChangeArrowheads="1"/>
        </xdr:cNvSpPr>
      </xdr:nvSpPr>
      <xdr:spPr bwMode="auto">
        <a:xfrm>
          <a:off x="11188700" y="6350000"/>
          <a:ext cx="76200" cy="196850"/>
        </a:xfrm>
        <a:prstGeom prst="rect">
          <a:avLst/>
        </a:prstGeom>
        <a:noFill/>
        <a:ln w="9525">
          <a:noFill/>
          <a:miter lim="800000"/>
          <a:headEnd/>
          <a:tailEnd/>
        </a:ln>
      </xdr:spPr>
    </xdr:sp>
    <xdr:clientData/>
  </xdr:oneCellAnchor>
  <xdr:oneCellAnchor>
    <xdr:from>
      <xdr:col>12</xdr:col>
      <xdr:colOff>342900</xdr:colOff>
      <xdr:row>17</xdr:row>
      <xdr:rowOff>0</xdr:rowOff>
    </xdr:from>
    <xdr:ext cx="76200" cy="196850"/>
    <xdr:sp macro="" textlink="">
      <xdr:nvSpPr>
        <xdr:cNvPr id="31" name="Text Box 1">
          <a:extLst>
            <a:ext uri="{FF2B5EF4-FFF2-40B4-BE49-F238E27FC236}">
              <a16:creationId xmlns:a16="http://schemas.microsoft.com/office/drawing/2014/main" id="{16A0C5B9-9AA5-4691-81E6-C97B06D6E697}"/>
            </a:ext>
          </a:extLst>
        </xdr:cNvPr>
        <xdr:cNvSpPr txBox="1">
          <a:spLocks noChangeArrowheads="1"/>
        </xdr:cNvSpPr>
      </xdr:nvSpPr>
      <xdr:spPr bwMode="auto">
        <a:xfrm>
          <a:off x="11188700" y="6350000"/>
          <a:ext cx="76200" cy="196850"/>
        </a:xfrm>
        <a:prstGeom prst="rect">
          <a:avLst/>
        </a:prstGeom>
        <a:noFill/>
        <a:ln w="9525">
          <a:noFill/>
          <a:miter lim="800000"/>
          <a:headEnd/>
          <a:tailEnd/>
        </a:ln>
      </xdr:spPr>
    </xdr:sp>
    <xdr:clientData/>
  </xdr:oneCellAnchor>
  <xdr:oneCellAnchor>
    <xdr:from>
      <xdr:col>12</xdr:col>
      <xdr:colOff>0</xdr:colOff>
      <xdr:row>17</xdr:row>
      <xdr:rowOff>0</xdr:rowOff>
    </xdr:from>
    <xdr:ext cx="76200" cy="196850"/>
    <xdr:sp macro="" textlink="">
      <xdr:nvSpPr>
        <xdr:cNvPr id="32" name="Text Box 1">
          <a:extLst>
            <a:ext uri="{FF2B5EF4-FFF2-40B4-BE49-F238E27FC236}">
              <a16:creationId xmlns:a16="http://schemas.microsoft.com/office/drawing/2014/main" id="{90842B94-2C94-415B-916B-9CB34DBABAE4}"/>
            </a:ext>
          </a:extLst>
        </xdr:cNvPr>
        <xdr:cNvSpPr txBox="1">
          <a:spLocks noChangeArrowheads="1"/>
        </xdr:cNvSpPr>
      </xdr:nvSpPr>
      <xdr:spPr bwMode="auto">
        <a:xfrm>
          <a:off x="11188700" y="3365500"/>
          <a:ext cx="76200" cy="196850"/>
        </a:xfrm>
        <a:prstGeom prst="rect">
          <a:avLst/>
        </a:prstGeom>
        <a:noFill/>
        <a:ln w="9525">
          <a:noFill/>
          <a:miter lim="800000"/>
          <a:headEnd/>
          <a:tailEnd/>
        </a:ln>
      </xdr:spPr>
    </xdr:sp>
    <xdr:clientData/>
  </xdr:oneCellAnchor>
  <xdr:oneCellAnchor>
    <xdr:from>
      <xdr:col>12</xdr:col>
      <xdr:colOff>342900</xdr:colOff>
      <xdr:row>17</xdr:row>
      <xdr:rowOff>0</xdr:rowOff>
    </xdr:from>
    <xdr:ext cx="76200" cy="196850"/>
    <xdr:sp macro="" textlink="">
      <xdr:nvSpPr>
        <xdr:cNvPr id="33" name="Text Box 1">
          <a:extLst>
            <a:ext uri="{FF2B5EF4-FFF2-40B4-BE49-F238E27FC236}">
              <a16:creationId xmlns:a16="http://schemas.microsoft.com/office/drawing/2014/main" id="{4CE95FFC-D5EB-4037-A2C7-CEF179061EC1}"/>
            </a:ext>
          </a:extLst>
        </xdr:cNvPr>
        <xdr:cNvSpPr txBox="1">
          <a:spLocks noChangeArrowheads="1"/>
        </xdr:cNvSpPr>
      </xdr:nvSpPr>
      <xdr:spPr bwMode="auto">
        <a:xfrm>
          <a:off x="11188700" y="3365500"/>
          <a:ext cx="76200" cy="196850"/>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2" displayName="List12" ref="M6:M31" totalsRowShown="0" headerRowDxfId="5" dataDxfId="4">
  <tableColumns count="1">
    <tableColumn id="1" xr3:uid="{00000000-0010-0000-0000-000001000000}" name="select school"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List1" displayName="List1" ref="K6:K27" totalsRowShown="0" headerRowDxfId="2" dataDxfId="1">
  <autoFilter ref="K6:K27" xr:uid="{00000000-0009-0000-0100-000006000000}"/>
  <sortState xmlns:xlrd2="http://schemas.microsoft.com/office/spreadsheetml/2017/richdata2" ref="K7:K27">
    <sortCondition ref="K7:K27"/>
  </sortState>
  <tableColumns count="1">
    <tableColumn id="1" xr3:uid="{00000000-0010-0000-0100-000001000000}" name="select schoo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M37"/>
  <sheetViews>
    <sheetView showGridLines="0" tabSelected="1" zoomScale="90" zoomScaleNormal="90" workbookViewId="0">
      <selection activeCell="K20" sqref="K20"/>
    </sheetView>
  </sheetViews>
  <sheetFormatPr defaultColWidth="9.1796875" defaultRowHeight="13" x14ac:dyDescent="0.3"/>
  <cols>
    <col min="1" max="1" width="1.453125" style="3" customWidth="1"/>
    <col min="2" max="2" width="9.54296875" style="3" customWidth="1"/>
    <col min="3" max="3" width="39.7265625" style="3" customWidth="1"/>
    <col min="4" max="6" width="14.26953125" style="4" customWidth="1"/>
    <col min="7" max="7" width="16.54296875" style="5" customWidth="1"/>
    <col min="8" max="8" width="1.81640625" style="3" customWidth="1"/>
    <col min="9" max="12" width="9.1796875" style="3"/>
    <col min="13" max="13" width="16" style="3" hidden="1" customWidth="1"/>
    <col min="14" max="16384" width="9.1796875" style="3"/>
  </cols>
  <sheetData>
    <row r="1" spans="2:13" ht="15.5" x14ac:dyDescent="0.35">
      <c r="B1" s="8" t="s">
        <v>0</v>
      </c>
      <c r="C1" s="10"/>
      <c r="D1" s="87"/>
      <c r="E1" s="87"/>
      <c r="F1" s="87"/>
      <c r="H1" s="10"/>
      <c r="I1" s="10"/>
      <c r="J1" s="10"/>
      <c r="K1" s="10"/>
      <c r="L1" s="10"/>
      <c r="M1" s="10"/>
    </row>
    <row r="2" spans="2:13" s="1" customFormat="1" x14ac:dyDescent="0.3">
      <c r="D2" s="5"/>
      <c r="E2" s="5"/>
      <c r="F2" s="5"/>
      <c r="G2" s="5"/>
    </row>
    <row r="4" spans="2:13" x14ac:dyDescent="0.3">
      <c r="B4" s="105" t="str">
        <f>VLOOKUP(D4,'Funding Analysis (Special)'!A:B,2,FALSE)</f>
        <v>Special School (S)</v>
      </c>
      <c r="C4" s="105"/>
      <c r="D4" s="111" t="s">
        <v>11</v>
      </c>
      <c r="E4" s="112"/>
      <c r="F4" s="112"/>
      <c r="G4" s="113"/>
      <c r="H4" s="10"/>
      <c r="I4" s="10"/>
      <c r="J4" s="10"/>
      <c r="K4" s="10"/>
      <c r="L4" s="10"/>
      <c r="M4" s="10"/>
    </row>
    <row r="6" spans="2:13" ht="39" x14ac:dyDescent="0.3">
      <c r="B6" s="106" t="s">
        <v>2</v>
      </c>
      <c r="C6" s="106"/>
      <c r="D6" s="6" t="s">
        <v>3</v>
      </c>
      <c r="E6" s="6" t="s">
        <v>4</v>
      </c>
      <c r="F6" s="6" t="s">
        <v>5</v>
      </c>
      <c r="G6" s="6" t="s">
        <v>6</v>
      </c>
      <c r="H6" s="10"/>
      <c r="I6" s="10"/>
      <c r="J6" s="10"/>
      <c r="K6" s="10"/>
      <c r="L6" s="10"/>
      <c r="M6" s="1" t="s">
        <v>7</v>
      </c>
    </row>
    <row r="7" spans="2:13" s="1" customFormat="1" ht="15" customHeight="1" x14ac:dyDescent="0.3">
      <c r="B7" s="82" t="s">
        <v>8</v>
      </c>
      <c r="C7" s="82"/>
      <c r="D7" s="71">
        <v>10000</v>
      </c>
      <c r="E7" s="88">
        <f>VLOOKUP(D4,'Funding Analysis (Special)'!A:L,4,0)</f>
        <v>250</v>
      </c>
      <c r="F7" s="88">
        <f>VLOOKUP(D4,'Funding Analysis (Special)'!A:L,5,0)</f>
        <v>250</v>
      </c>
      <c r="G7" s="9">
        <f>VLOOKUP(D4,'Funding Analysis (Special)'!A:I,6,0)+VLOOKUP(D4,'Funding Analysis (Special)'!A:H,7,0)</f>
        <v>2500000</v>
      </c>
      <c r="M7" s="11" t="s">
        <v>9</v>
      </c>
    </row>
    <row r="8" spans="2:13" ht="15" customHeight="1" x14ac:dyDescent="0.3">
      <c r="B8" s="107" t="s">
        <v>10</v>
      </c>
      <c r="C8" s="108"/>
      <c r="D8" s="71">
        <f>IF($B$4="Alternative Provision",0,734)</f>
        <v>734</v>
      </c>
      <c r="E8" s="88">
        <f>E7</f>
        <v>250</v>
      </c>
      <c r="F8" s="88">
        <f>F7</f>
        <v>250</v>
      </c>
      <c r="G8" s="9">
        <f>((E8*5/12)+(F8*7/12))*D8</f>
        <v>183500</v>
      </c>
      <c r="H8" s="10"/>
      <c r="I8" s="70"/>
      <c r="J8" s="10"/>
      <c r="K8" s="10"/>
      <c r="L8" s="10"/>
      <c r="M8" s="11" t="s">
        <v>1</v>
      </c>
    </row>
    <row r="9" spans="2:13" x14ac:dyDescent="0.3">
      <c r="B9" s="83"/>
      <c r="C9" s="84"/>
      <c r="D9" s="71"/>
      <c r="E9" s="88"/>
      <c r="F9" s="88"/>
      <c r="G9" s="9"/>
      <c r="H9" s="10"/>
      <c r="I9" s="10"/>
      <c r="J9" s="10"/>
      <c r="K9" s="10"/>
      <c r="L9" s="10"/>
      <c r="M9" s="11" t="s">
        <v>11</v>
      </c>
    </row>
    <row r="10" spans="2:13" ht="14.15" customHeight="1" x14ac:dyDescent="0.3">
      <c r="B10" s="82" t="s">
        <v>12</v>
      </c>
      <c r="C10" s="82"/>
      <c r="D10" s="71"/>
      <c r="E10" s="88"/>
      <c r="F10" s="88"/>
      <c r="G10" s="9">
        <f>VLOOKUP(D4,'Funding Analysis (Special)'!A:L,8,0)</f>
        <v>3346583</v>
      </c>
      <c r="H10" s="10"/>
      <c r="I10" s="10"/>
      <c r="J10" s="10"/>
      <c r="K10" s="10"/>
      <c r="L10" s="10"/>
      <c r="M10" s="11" t="s">
        <v>13</v>
      </c>
    </row>
    <row r="11" spans="2:13" x14ac:dyDescent="0.3">
      <c r="B11" s="109"/>
      <c r="C11" s="110"/>
      <c r="D11" s="88"/>
      <c r="E11" s="88"/>
      <c r="F11" s="88"/>
      <c r="G11" s="9"/>
      <c r="H11" s="10"/>
      <c r="I11" s="10"/>
      <c r="J11" s="10"/>
      <c r="K11" s="89"/>
      <c r="L11" s="10"/>
      <c r="M11" s="11" t="s">
        <v>14</v>
      </c>
    </row>
    <row r="12" spans="2:13" s="1" customFormat="1" ht="16" customHeight="1" x14ac:dyDescent="0.3">
      <c r="B12" s="82" t="s">
        <v>15</v>
      </c>
      <c r="C12" s="82"/>
      <c r="D12" s="7"/>
      <c r="E12" s="7"/>
      <c r="F12" s="7"/>
      <c r="G12" s="9">
        <f>G7+G10</f>
        <v>5846583</v>
      </c>
      <c r="M12" s="11" t="s">
        <v>16</v>
      </c>
    </row>
    <row r="13" spans="2:13" ht="10.5" customHeight="1" x14ac:dyDescent="0.3">
      <c r="B13" s="90"/>
      <c r="C13" s="10"/>
      <c r="D13" s="91"/>
      <c r="E13" s="91"/>
      <c r="F13" s="87"/>
      <c r="H13" s="10"/>
      <c r="I13" s="10"/>
      <c r="J13" s="10"/>
      <c r="K13" s="10"/>
      <c r="L13" s="10"/>
      <c r="M13" s="11" t="s">
        <v>17</v>
      </c>
    </row>
    <row r="14" spans="2:13" ht="13.5" thickBot="1" x14ac:dyDescent="0.35">
      <c r="B14" s="10"/>
      <c r="C14" s="10"/>
      <c r="D14" s="87"/>
      <c r="E14" s="87"/>
      <c r="F14" s="87"/>
      <c r="H14" s="10"/>
      <c r="I14" s="10"/>
      <c r="J14" s="10"/>
      <c r="K14" s="10"/>
      <c r="L14" s="10"/>
      <c r="M14" s="13" t="s">
        <v>18</v>
      </c>
    </row>
    <row r="15" spans="2:13" x14ac:dyDescent="0.3">
      <c r="B15" s="58" t="s">
        <v>19</v>
      </c>
      <c r="C15" s="10"/>
      <c r="D15"/>
      <c r="E15"/>
      <c r="F15" s="10"/>
      <c r="G15"/>
      <c r="H15" s="10"/>
      <c r="I15" s="10"/>
      <c r="J15" s="10"/>
      <c r="K15" s="10"/>
      <c r="L15" s="10"/>
      <c r="M15" s="10"/>
    </row>
    <row r="16" spans="2:13" ht="12.5" x14ac:dyDescent="0.25">
      <c r="B16"/>
      <c r="C16" s="10"/>
      <c r="D16"/>
      <c r="E16"/>
      <c r="F16" s="10"/>
      <c r="G16"/>
      <c r="H16" s="10"/>
      <c r="I16" s="10"/>
      <c r="J16" s="10"/>
      <c r="K16" s="10"/>
      <c r="L16" s="10"/>
      <c r="M16" s="10"/>
    </row>
    <row r="17" spans="2:13" x14ac:dyDescent="0.3">
      <c r="B17" s="82" t="s">
        <v>20</v>
      </c>
      <c r="C17" s="82"/>
      <c r="D17" s="60"/>
      <c r="E17" s="60"/>
      <c r="F17" s="92"/>
      <c r="G17" s="9">
        <f>VLOOKUP($D$4,'Funding Analysis (Special)'!A:O,10,0)</f>
        <v>71625</v>
      </c>
      <c r="H17" s="10"/>
      <c r="I17" s="10"/>
      <c r="J17" s="10"/>
      <c r="K17" s="10"/>
      <c r="L17" s="10"/>
      <c r="M17" s="10"/>
    </row>
    <row r="18" spans="2:13" x14ac:dyDescent="0.3">
      <c r="B18" s="82" t="s">
        <v>21</v>
      </c>
      <c r="C18" s="82"/>
      <c r="D18" s="60"/>
      <c r="E18" s="60"/>
      <c r="F18" s="92"/>
      <c r="G18" s="9">
        <f>VLOOKUP($D$4,'Funding Analysis (Special)'!A:O,11,0)</f>
        <v>310</v>
      </c>
      <c r="H18" s="10"/>
      <c r="I18" s="10"/>
      <c r="J18" s="10"/>
      <c r="K18" s="10"/>
      <c r="L18" s="10"/>
      <c r="M18" s="10"/>
    </row>
    <row r="19" spans="2:13" x14ac:dyDescent="0.3">
      <c r="B19" s="82" t="s">
        <v>22</v>
      </c>
      <c r="C19" s="82"/>
      <c r="D19" s="60"/>
      <c r="E19" s="60"/>
      <c r="F19" s="92"/>
      <c r="G19" s="9">
        <f>VLOOKUP($D$4,'Funding Analysis (Special)'!A:O,12,0)</f>
        <v>14070</v>
      </c>
      <c r="H19" s="10"/>
      <c r="I19" s="10"/>
      <c r="J19" s="10"/>
      <c r="K19" s="10"/>
      <c r="L19" s="10"/>
      <c r="M19" s="10"/>
    </row>
    <row r="20" spans="2:13" x14ac:dyDescent="0.3">
      <c r="B20" s="82" t="s">
        <v>23</v>
      </c>
      <c r="C20" s="82"/>
      <c r="D20" s="60"/>
      <c r="E20" s="60"/>
      <c r="F20" s="92"/>
      <c r="G20" s="9">
        <f>VLOOKUP($D$4,'Funding Analysis (Special)'!A:O,13,0)</f>
        <v>0</v>
      </c>
      <c r="H20" s="10"/>
      <c r="I20" s="10"/>
      <c r="J20" s="10"/>
      <c r="K20" s="10"/>
      <c r="L20" s="10"/>
      <c r="M20" s="10"/>
    </row>
    <row r="21" spans="2:13" x14ac:dyDescent="0.3">
      <c r="B21" s="82" t="s">
        <v>24</v>
      </c>
      <c r="C21" s="82"/>
      <c r="D21" s="60"/>
      <c r="E21" s="60"/>
      <c r="F21" s="92"/>
      <c r="G21" s="9">
        <f>VLOOKUP($D$4,'Funding Analysis (Special)'!A:O,14,0)</f>
        <v>0</v>
      </c>
      <c r="H21" s="10"/>
      <c r="I21" s="10"/>
      <c r="J21" s="10"/>
      <c r="K21" s="10"/>
      <c r="L21" s="10"/>
      <c r="M21" s="10"/>
    </row>
    <row r="22" spans="2:13" ht="13.5" thickBot="1" x14ac:dyDescent="0.35">
      <c r="B22" s="10"/>
      <c r="C22" s="10"/>
      <c r="D22" s="87"/>
      <c r="E22" s="87"/>
      <c r="F22" s="87"/>
      <c r="H22" s="10"/>
      <c r="I22" s="10"/>
      <c r="J22" s="10"/>
      <c r="K22" s="10"/>
      <c r="L22" s="10"/>
      <c r="M22" s="10"/>
    </row>
    <row r="23" spans="2:13" ht="13.5" thickBot="1" x14ac:dyDescent="0.35">
      <c r="B23" s="63" t="s">
        <v>25</v>
      </c>
      <c r="C23" s="64"/>
      <c r="D23" s="93"/>
      <c r="E23" s="93"/>
      <c r="F23" s="93"/>
      <c r="G23" s="59">
        <f>SUM(G12:G21)</f>
        <v>5932588</v>
      </c>
      <c r="H23" s="10"/>
      <c r="I23" s="10"/>
      <c r="J23" s="10"/>
      <c r="K23" s="10"/>
      <c r="L23" s="10"/>
      <c r="M23" s="10"/>
    </row>
    <row r="24" spans="2:13" x14ac:dyDescent="0.3">
      <c r="B24" s="10"/>
      <c r="C24" s="10"/>
      <c r="D24" s="87"/>
      <c r="E24" s="87"/>
      <c r="F24" s="87"/>
      <c r="H24" s="10"/>
      <c r="I24" s="10"/>
      <c r="J24" s="10"/>
      <c r="K24" s="10"/>
      <c r="L24" s="10"/>
      <c r="M24" s="10"/>
    </row>
    <row r="25" spans="2:13" x14ac:dyDescent="0.3">
      <c r="B25" s="1" t="s">
        <v>26</v>
      </c>
      <c r="C25" s="1" t="s">
        <v>27</v>
      </c>
      <c r="D25" s="87"/>
      <c r="E25" s="87"/>
      <c r="F25" s="87"/>
      <c r="H25" s="10"/>
      <c r="I25" s="10"/>
      <c r="J25" s="10"/>
      <c r="K25" s="10"/>
      <c r="L25" s="10"/>
      <c r="M25" s="10"/>
    </row>
    <row r="26" spans="2:13" ht="28" customHeight="1" x14ac:dyDescent="0.25">
      <c r="B26" s="97" t="s">
        <v>28</v>
      </c>
      <c r="C26" s="114" t="s">
        <v>29</v>
      </c>
      <c r="D26" s="114"/>
      <c r="E26" s="114"/>
      <c r="F26" s="114"/>
      <c r="G26" s="114"/>
      <c r="H26" s="10"/>
      <c r="I26" s="10"/>
      <c r="J26" s="10"/>
      <c r="K26" s="10"/>
      <c r="L26" s="10"/>
      <c r="M26" s="10"/>
    </row>
    <row r="27" spans="2:13" ht="30.65" customHeight="1" x14ac:dyDescent="0.25">
      <c r="B27" s="98"/>
      <c r="C27" s="114" t="s">
        <v>30</v>
      </c>
      <c r="D27" s="114"/>
      <c r="E27" s="114"/>
      <c r="F27" s="114"/>
      <c r="G27" s="114"/>
      <c r="H27" s="10"/>
      <c r="I27" s="10"/>
      <c r="J27" s="10"/>
      <c r="K27" s="10"/>
      <c r="L27" s="10"/>
      <c r="M27" s="10"/>
    </row>
    <row r="28" spans="2:13" ht="55.5" customHeight="1" x14ac:dyDescent="0.25">
      <c r="B28" s="99"/>
      <c r="C28" s="100" t="s">
        <v>31</v>
      </c>
      <c r="D28" s="101"/>
      <c r="E28" s="101"/>
      <c r="F28" s="101"/>
      <c r="G28" s="102"/>
      <c r="H28" s="10"/>
      <c r="I28" s="10"/>
      <c r="J28" s="10"/>
      <c r="K28" s="10"/>
      <c r="L28" s="10"/>
      <c r="M28" s="10"/>
    </row>
    <row r="29" spans="2:13" ht="41.5" customHeight="1" x14ac:dyDescent="0.25">
      <c r="B29" s="104" t="s">
        <v>32</v>
      </c>
      <c r="C29" s="114" t="s">
        <v>33</v>
      </c>
      <c r="D29" s="114"/>
      <c r="E29" s="114"/>
      <c r="F29" s="114"/>
      <c r="G29" s="114"/>
      <c r="H29" s="10"/>
      <c r="I29" s="10"/>
      <c r="J29" s="10"/>
      <c r="K29" s="10"/>
      <c r="L29" s="10"/>
      <c r="M29" s="10"/>
    </row>
    <row r="30" spans="2:13" ht="17.5" customHeight="1" x14ac:dyDescent="0.25">
      <c r="B30" s="104"/>
      <c r="C30" s="114" t="s">
        <v>34</v>
      </c>
      <c r="D30" s="114"/>
      <c r="E30" s="114"/>
      <c r="F30" s="114"/>
      <c r="G30" s="114"/>
      <c r="H30" s="10"/>
      <c r="I30" s="10"/>
      <c r="J30" s="10"/>
      <c r="K30" s="10"/>
      <c r="L30" s="10"/>
      <c r="M30" s="10"/>
    </row>
    <row r="31" spans="2:13" x14ac:dyDescent="0.3">
      <c r="B31" s="61"/>
      <c r="C31" s="62" t="s">
        <v>19</v>
      </c>
      <c r="D31" s="10"/>
      <c r="E31" s="87"/>
      <c r="F31" s="87"/>
      <c r="H31" s="10"/>
      <c r="I31" s="10"/>
      <c r="J31" s="10"/>
      <c r="K31" s="10"/>
      <c r="L31" s="10"/>
      <c r="M31" s="10"/>
    </row>
    <row r="32" spans="2:13" ht="104.25" customHeight="1" x14ac:dyDescent="0.25">
      <c r="B32" s="85" t="s">
        <v>35</v>
      </c>
      <c r="C32" s="103" t="s">
        <v>36</v>
      </c>
      <c r="D32" s="103"/>
      <c r="E32" s="103"/>
      <c r="F32" s="103"/>
      <c r="G32" s="103"/>
      <c r="H32" s="10"/>
      <c r="I32" s="10"/>
      <c r="J32" s="10"/>
      <c r="K32" s="10"/>
      <c r="L32" s="10"/>
      <c r="M32" s="10"/>
    </row>
    <row r="33" spans="2:7" ht="54.75" customHeight="1" x14ac:dyDescent="0.25">
      <c r="B33" s="85" t="s">
        <v>35</v>
      </c>
      <c r="C33" s="103" t="s">
        <v>37</v>
      </c>
      <c r="D33" s="103"/>
      <c r="E33" s="103"/>
      <c r="F33" s="103"/>
      <c r="G33" s="103"/>
    </row>
    <row r="34" spans="2:7" ht="43.5" customHeight="1" x14ac:dyDescent="0.25">
      <c r="B34" s="85" t="s">
        <v>35</v>
      </c>
      <c r="C34" s="103" t="s">
        <v>38</v>
      </c>
      <c r="D34" s="103"/>
      <c r="E34" s="103"/>
      <c r="F34" s="103"/>
      <c r="G34" s="103"/>
    </row>
    <row r="35" spans="2:7" ht="42" customHeight="1" x14ac:dyDescent="0.25">
      <c r="B35" s="85" t="s">
        <v>39</v>
      </c>
      <c r="C35" s="103" t="s">
        <v>40</v>
      </c>
      <c r="D35" s="103"/>
      <c r="E35" s="103"/>
      <c r="F35" s="103"/>
      <c r="G35" s="103"/>
    </row>
    <row r="36" spans="2:7" ht="69.650000000000006" customHeight="1" x14ac:dyDescent="0.25">
      <c r="B36" s="85" t="s">
        <v>39</v>
      </c>
      <c r="C36" s="103" t="s">
        <v>41</v>
      </c>
      <c r="D36" s="103"/>
      <c r="E36" s="103"/>
      <c r="F36" s="103"/>
      <c r="G36" s="103"/>
    </row>
    <row r="37" spans="2:7" ht="46.5" customHeight="1" x14ac:dyDescent="0.25">
      <c r="B37" s="86" t="s">
        <v>42</v>
      </c>
      <c r="C37" s="103" t="s">
        <v>43</v>
      </c>
      <c r="D37" s="103"/>
      <c r="E37" s="103"/>
      <c r="F37" s="103"/>
      <c r="G37" s="103"/>
    </row>
  </sheetData>
  <sheetProtection algorithmName="SHA-512" hashValue="nDd9Y7jAx4TOMZnNHds4yKQRjpqv08YU8cthMADIZMnOjjiPbECOv0YxTiPjRTDu9wNRz5gSA2XwIyeMiXlnzA==" saltValue="r15bpXUWuX5Yn9X8NQw9XQ==" spinCount="100000" sheet="1" objects="1" scenarios="1"/>
  <mergeCells count="18">
    <mergeCell ref="B4:C4"/>
    <mergeCell ref="B6:C6"/>
    <mergeCell ref="B8:C8"/>
    <mergeCell ref="B11:C11"/>
    <mergeCell ref="C34:G34"/>
    <mergeCell ref="C32:G32"/>
    <mergeCell ref="C33:G33"/>
    <mergeCell ref="D4:G4"/>
    <mergeCell ref="C26:G26"/>
    <mergeCell ref="C27:G27"/>
    <mergeCell ref="C29:G29"/>
    <mergeCell ref="C30:G30"/>
    <mergeCell ref="B26:B28"/>
    <mergeCell ref="C28:G28"/>
    <mergeCell ref="C37:G37"/>
    <mergeCell ref="B29:B30"/>
    <mergeCell ref="C35:G35"/>
    <mergeCell ref="C36:G36"/>
  </mergeCells>
  <dataValidations count="1">
    <dataValidation type="list" allowBlank="1" showInputMessage="1" showErrorMessage="1" sqref="D4:G4" xr:uid="{00000000-0002-0000-0000-000000000000}">
      <formula1>$M$6:$M$24</formula1>
    </dataValidation>
  </dataValidations>
  <printOptions horizontalCentered="1"/>
  <pageMargins left="0.35433070866141736" right="0.27559055118110237" top="0.59055118110236227" bottom="0.51181102362204722" header="0.31496062992125984" footer="0.27559055118110237"/>
  <pageSetup paperSize="9" scale="87"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K27"/>
  <sheetViews>
    <sheetView workbookViewId="0">
      <selection activeCell="B31" sqref="B31"/>
    </sheetView>
  </sheetViews>
  <sheetFormatPr defaultColWidth="9.1796875" defaultRowHeight="13" x14ac:dyDescent="0.3"/>
  <cols>
    <col min="1" max="1" width="45.1796875" style="3" customWidth="1"/>
    <col min="2" max="2" width="18.453125" style="4" customWidth="1"/>
    <col min="3" max="4" width="14.26953125" style="4" customWidth="1"/>
    <col min="5" max="5" width="14.26953125" style="5" customWidth="1"/>
    <col min="6" max="10" width="9.1796875" style="3"/>
    <col min="11" max="11" width="16" style="3" hidden="1" customWidth="1"/>
    <col min="12" max="12" width="9.1796875" style="3" customWidth="1"/>
    <col min="13" max="16384" width="9.1796875" style="3"/>
  </cols>
  <sheetData>
    <row r="1" spans="1:11" ht="15.5" x14ac:dyDescent="0.35">
      <c r="A1" s="8" t="s">
        <v>72</v>
      </c>
      <c r="B1" s="87"/>
      <c r="C1" s="87"/>
      <c r="D1" s="87"/>
      <c r="F1" s="10"/>
      <c r="G1" s="10"/>
      <c r="H1" s="10"/>
      <c r="I1" s="10"/>
      <c r="J1" s="10"/>
      <c r="K1" s="10"/>
    </row>
    <row r="2" spans="1:11" s="1" customFormat="1" x14ac:dyDescent="0.3">
      <c r="B2" s="5"/>
      <c r="C2" s="5"/>
      <c r="D2" s="5"/>
      <c r="E2" s="5"/>
    </row>
    <row r="4" spans="1:11" x14ac:dyDescent="0.3">
      <c r="A4" s="2" t="s">
        <v>46</v>
      </c>
      <c r="B4" s="111" t="s">
        <v>73</v>
      </c>
      <c r="C4" s="119"/>
      <c r="D4" s="112"/>
      <c r="E4" s="113"/>
      <c r="F4" s="10"/>
      <c r="G4" s="10"/>
      <c r="H4" s="10"/>
      <c r="I4" s="10"/>
      <c r="J4" s="10"/>
      <c r="K4" s="10"/>
    </row>
    <row r="5" spans="1:11" ht="13.5" thickBot="1" x14ac:dyDescent="0.35">
      <c r="A5" s="10"/>
      <c r="B5" s="87"/>
      <c r="C5" s="87"/>
      <c r="D5" s="87"/>
      <c r="F5" s="10"/>
      <c r="G5" s="10"/>
      <c r="H5" s="10"/>
      <c r="I5" s="10"/>
      <c r="J5" s="10"/>
      <c r="K5" s="10"/>
    </row>
    <row r="6" spans="1:11" ht="39" x14ac:dyDescent="0.3">
      <c r="A6" s="47" t="s">
        <v>2</v>
      </c>
      <c r="B6" s="48" t="s">
        <v>3</v>
      </c>
      <c r="C6" s="24" t="s">
        <v>74</v>
      </c>
      <c r="D6" s="48" t="s">
        <v>75</v>
      </c>
      <c r="E6" s="49" t="s">
        <v>76</v>
      </c>
      <c r="F6" s="10"/>
      <c r="G6" s="10"/>
      <c r="H6" s="10"/>
      <c r="I6" s="10"/>
      <c r="J6" s="10"/>
      <c r="K6" s="1" t="s">
        <v>7</v>
      </c>
    </row>
    <row r="7" spans="1:11" s="1" customFormat="1" ht="20.149999999999999" customHeight="1" thickBot="1" x14ac:dyDescent="0.35">
      <c r="A7" s="50" t="s">
        <v>77</v>
      </c>
      <c r="B7" s="71">
        <v>6000</v>
      </c>
      <c r="C7" s="94">
        <f>VLOOKUP(B4,'Funding Analysis (SRP)'!A:M,6,0)</f>
        <v>5</v>
      </c>
      <c r="D7" s="95"/>
      <c r="E7" s="51">
        <f>B7*C7</f>
        <v>30000</v>
      </c>
      <c r="K7" s="40" t="s">
        <v>78</v>
      </c>
    </row>
    <row r="8" spans="1:11" s="1" customFormat="1" ht="20.149999999999999" customHeight="1" thickBot="1" x14ac:dyDescent="0.35">
      <c r="A8" s="50" t="s">
        <v>79</v>
      </c>
      <c r="B8" s="71">
        <v>10000</v>
      </c>
      <c r="C8" s="94"/>
      <c r="D8" s="95">
        <f>VLOOKUP(B4,'Funding Analysis (SRP)'!A:M,8,0)</f>
        <v>2</v>
      </c>
      <c r="E8" s="51">
        <f>B8*D8</f>
        <v>20000</v>
      </c>
      <c r="K8" s="40" t="s">
        <v>80</v>
      </c>
    </row>
    <row r="9" spans="1:11" ht="20.149999999999999" customHeight="1" thickBot="1" x14ac:dyDescent="0.35">
      <c r="A9" s="50" t="s">
        <v>81</v>
      </c>
      <c r="B9" s="71" t="s">
        <v>82</v>
      </c>
      <c r="C9" s="94"/>
      <c r="D9" s="95"/>
      <c r="E9" s="51">
        <f>VLOOKUP(B4,'Funding Analysis (SRP)'!A:M,10,0)</f>
        <v>0</v>
      </c>
      <c r="F9" s="10"/>
      <c r="G9" s="10"/>
      <c r="H9" s="10"/>
      <c r="I9" s="10"/>
      <c r="J9" s="10"/>
      <c r="K9" s="40" t="s">
        <v>83</v>
      </c>
    </row>
    <row r="10" spans="1:11" ht="13.5" thickBot="1" x14ac:dyDescent="0.35">
      <c r="A10" s="96"/>
      <c r="B10" s="71"/>
      <c r="C10" s="71"/>
      <c r="D10" s="88"/>
      <c r="E10" s="51"/>
      <c r="F10" s="10"/>
      <c r="G10" s="10"/>
      <c r="H10" s="10"/>
      <c r="I10" s="10"/>
      <c r="J10" s="10"/>
      <c r="K10" s="40" t="s">
        <v>84</v>
      </c>
    </row>
    <row r="11" spans="1:11" ht="13.5" thickBot="1" x14ac:dyDescent="0.35">
      <c r="A11" s="96"/>
      <c r="B11" s="71"/>
      <c r="C11" s="71"/>
      <c r="D11" s="88"/>
      <c r="E11" s="51"/>
      <c r="F11" s="10"/>
      <c r="G11" s="10"/>
      <c r="H11" s="10"/>
      <c r="I11" s="10"/>
      <c r="J11" s="10"/>
      <c r="K11" s="40"/>
    </row>
    <row r="12" spans="1:11" ht="13.5" thickBot="1" x14ac:dyDescent="0.35">
      <c r="A12" s="50" t="s">
        <v>12</v>
      </c>
      <c r="B12" s="71"/>
      <c r="C12" s="88"/>
      <c r="D12" s="88"/>
      <c r="E12" s="51">
        <f>VLOOKUP(B4,'Funding Analysis (SRP)'!A:M,13,0)</f>
        <v>60000</v>
      </c>
      <c r="F12" s="10"/>
      <c r="G12" s="10"/>
      <c r="H12" s="10"/>
      <c r="I12" s="10"/>
      <c r="J12" s="10"/>
      <c r="K12" s="40" t="s">
        <v>85</v>
      </c>
    </row>
    <row r="13" spans="1:11" ht="13.5" thickBot="1" x14ac:dyDescent="0.35">
      <c r="A13" s="96"/>
      <c r="B13" s="88"/>
      <c r="C13" s="88"/>
      <c r="D13" s="88"/>
      <c r="E13" s="51"/>
      <c r="F13" s="10"/>
      <c r="G13" s="10"/>
      <c r="H13" s="10"/>
      <c r="I13" s="10"/>
      <c r="J13" s="10"/>
      <c r="K13" s="40" t="s">
        <v>86</v>
      </c>
    </row>
    <row r="14" spans="1:11" s="1" customFormat="1" ht="13.5" thickBot="1" x14ac:dyDescent="0.35">
      <c r="A14" s="52" t="s">
        <v>87</v>
      </c>
      <c r="B14" s="53"/>
      <c r="C14" s="53"/>
      <c r="D14" s="53"/>
      <c r="E14" s="54">
        <f>SUM(E7:E12)</f>
        <v>110000</v>
      </c>
      <c r="K14" s="40" t="s">
        <v>88</v>
      </c>
    </row>
    <row r="15" spans="1:11" ht="13.5" thickBot="1" x14ac:dyDescent="0.35">
      <c r="A15" s="10"/>
      <c r="B15" s="87"/>
      <c r="C15" s="87"/>
      <c r="D15" s="87"/>
      <c r="F15" s="10"/>
      <c r="G15" s="10"/>
      <c r="H15" s="10"/>
      <c r="I15" s="10"/>
      <c r="J15" s="10"/>
      <c r="K15" s="40" t="s">
        <v>89</v>
      </c>
    </row>
    <row r="16" spans="1:11" ht="13.5" thickBot="1" x14ac:dyDescent="0.35">
      <c r="A16" s="10"/>
      <c r="B16" s="87"/>
      <c r="C16" s="87"/>
      <c r="D16" s="87"/>
      <c r="F16" s="10"/>
      <c r="G16" s="10"/>
      <c r="H16" s="10"/>
      <c r="I16" s="10"/>
      <c r="J16" s="10"/>
      <c r="K16" s="40" t="s">
        <v>73</v>
      </c>
    </row>
    <row r="17" spans="1:11" ht="13.5" thickBot="1" x14ac:dyDescent="0.35">
      <c r="A17" s="1" t="s">
        <v>27</v>
      </c>
      <c r="B17" s="87"/>
      <c r="C17" s="87"/>
      <c r="D17" s="87"/>
      <c r="F17" s="10"/>
      <c r="G17" s="10"/>
      <c r="H17" s="10"/>
      <c r="I17" s="10"/>
      <c r="J17" s="10"/>
      <c r="K17" s="40" t="s">
        <v>90</v>
      </c>
    </row>
    <row r="18" spans="1:11" ht="29.25" customHeight="1" thickBot="1" x14ac:dyDescent="0.3">
      <c r="A18" s="118" t="s">
        <v>29</v>
      </c>
      <c r="B18" s="118"/>
      <c r="C18" s="118"/>
      <c r="D18" s="118"/>
      <c r="E18" s="118"/>
      <c r="F18" s="10"/>
      <c r="G18" s="10"/>
      <c r="H18" s="10"/>
      <c r="I18" s="10"/>
      <c r="J18" s="10"/>
      <c r="K18" s="40" t="s">
        <v>91</v>
      </c>
    </row>
    <row r="19" spans="1:11" ht="30" customHeight="1" thickBot="1" x14ac:dyDescent="0.3">
      <c r="A19" s="118" t="s">
        <v>92</v>
      </c>
      <c r="B19" s="118"/>
      <c r="C19" s="118"/>
      <c r="D19" s="118"/>
      <c r="E19" s="118"/>
      <c r="F19" s="10"/>
      <c r="G19" s="10"/>
      <c r="H19" s="10"/>
      <c r="I19" s="10"/>
      <c r="J19" s="10"/>
      <c r="K19" s="40" t="s">
        <v>93</v>
      </c>
    </row>
    <row r="20" spans="1:11" ht="28.5" customHeight="1" thickBot="1" x14ac:dyDescent="0.3">
      <c r="A20" s="118" t="s">
        <v>94</v>
      </c>
      <c r="B20" s="118"/>
      <c r="C20" s="118"/>
      <c r="D20" s="118"/>
      <c r="E20" s="118"/>
      <c r="F20" s="10"/>
      <c r="G20" s="10"/>
      <c r="H20" s="10"/>
      <c r="I20" s="10"/>
      <c r="J20" s="10"/>
      <c r="K20" s="40" t="s">
        <v>95</v>
      </c>
    </row>
    <row r="21" spans="1:11" ht="40.5" customHeight="1" x14ac:dyDescent="0.25">
      <c r="A21" s="118" t="s">
        <v>96</v>
      </c>
      <c r="B21" s="118"/>
      <c r="C21" s="118"/>
      <c r="D21" s="118"/>
      <c r="E21" s="118"/>
      <c r="F21" s="10"/>
      <c r="G21" s="10"/>
      <c r="H21" s="10"/>
      <c r="I21" s="10"/>
      <c r="J21" s="10"/>
      <c r="K21" s="41" t="s">
        <v>97</v>
      </c>
    </row>
    <row r="22" spans="1:11" ht="23.15" customHeight="1" x14ac:dyDescent="0.25">
      <c r="A22" s="118" t="s">
        <v>34</v>
      </c>
      <c r="B22" s="118"/>
      <c r="C22" s="118"/>
      <c r="D22" s="118"/>
      <c r="E22" s="118"/>
      <c r="F22" s="10"/>
      <c r="G22" s="10"/>
      <c r="H22" s="10"/>
      <c r="I22" s="10"/>
      <c r="J22" s="10"/>
      <c r="K22" s="10"/>
    </row>
    <row r="23" spans="1:11" x14ac:dyDescent="0.3">
      <c r="A23" s="10"/>
      <c r="B23" s="87"/>
      <c r="C23" s="87"/>
      <c r="D23" s="87"/>
      <c r="F23" s="10"/>
      <c r="G23" s="10"/>
      <c r="H23" s="10"/>
      <c r="I23" s="10"/>
      <c r="J23" s="10"/>
      <c r="K23" s="10"/>
    </row>
    <row r="24" spans="1:11" x14ac:dyDescent="0.3">
      <c r="A24" s="10"/>
      <c r="B24" s="87"/>
      <c r="C24" s="87"/>
      <c r="D24" s="87"/>
      <c r="F24" s="10"/>
      <c r="G24" s="10"/>
      <c r="H24" s="10"/>
      <c r="I24" s="10"/>
      <c r="J24" s="10"/>
      <c r="K24" s="10"/>
    </row>
    <row r="25" spans="1:11" x14ac:dyDescent="0.3">
      <c r="A25" s="10"/>
      <c r="B25" s="87"/>
      <c r="C25" s="87"/>
      <c r="D25" s="87"/>
      <c r="F25" s="10"/>
      <c r="G25" s="10"/>
      <c r="H25" s="10"/>
      <c r="I25" s="10"/>
      <c r="J25" s="10"/>
      <c r="K25" s="10"/>
    </row>
    <row r="26" spans="1:11" x14ac:dyDescent="0.3">
      <c r="A26" s="10"/>
      <c r="B26" s="87"/>
      <c r="C26" s="87"/>
      <c r="D26" s="87"/>
      <c r="F26" s="10"/>
      <c r="G26" s="10"/>
      <c r="H26" s="10"/>
      <c r="I26" s="10"/>
      <c r="J26" s="10"/>
      <c r="K26" s="10"/>
    </row>
    <row r="27" spans="1:11" x14ac:dyDescent="0.3">
      <c r="A27" s="10"/>
      <c r="B27" s="87"/>
      <c r="C27" s="87"/>
      <c r="D27" s="87"/>
      <c r="F27" s="10"/>
      <c r="G27" s="10"/>
      <c r="H27" s="10"/>
      <c r="I27" s="10"/>
      <c r="J27" s="10"/>
      <c r="K27" s="10"/>
    </row>
  </sheetData>
  <sheetProtection algorithmName="SHA-512" hashValue="fozUYlbSzMOgHMB2ZAD5ewIAcrXJqM4Bng5DAp1sYjQU/QZMxaschU6Bsxbn3nyBOUb5WJz4ZUxvWJA8nGEvkA==" saltValue="XbOUQc8SHBZr/KwKmxFcyw==" spinCount="100000" sheet="1" objects="1" scenarios="1"/>
  <mergeCells count="6">
    <mergeCell ref="A22:E22"/>
    <mergeCell ref="B4:E4"/>
    <mergeCell ref="A18:E18"/>
    <mergeCell ref="A19:E19"/>
    <mergeCell ref="A20:E20"/>
    <mergeCell ref="A21:E21"/>
  </mergeCells>
  <phoneticPr fontId="5" type="noConversion"/>
  <dataValidations count="1">
    <dataValidation type="list" allowBlank="1" showInputMessage="1" showErrorMessage="1" sqref="B4:E4" xr:uid="{00000000-0002-0000-0300-000000000000}">
      <formula1>$K$6:$K$21</formula1>
    </dataValidation>
  </dataValidations>
  <pageMargins left="0.35433070866141736" right="0.27559055118110237" top="0.59055118110236227" bottom="0.51181102362204722" header="0.31496062992125984" footer="0.27559055118110237"/>
  <pageSetup paperSize="9" scale="94"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5"/>
  <sheetViews>
    <sheetView workbookViewId="0">
      <pane xSplit="1" ySplit="4" topLeftCell="D5" activePane="bottomRight" state="frozen"/>
      <selection pane="topRight" activeCell="C1" sqref="C1"/>
      <selection pane="bottomLeft" activeCell="A5" sqref="A5"/>
      <selection pane="bottomRight" activeCell="G35" sqref="G35"/>
    </sheetView>
  </sheetViews>
  <sheetFormatPr defaultColWidth="9.1796875" defaultRowHeight="12.5" x14ac:dyDescent="0.25"/>
  <cols>
    <col min="1" max="1" width="23.81640625" style="15" customWidth="1"/>
    <col min="2" max="2" width="17.81640625" style="15" bestFit="1" customWidth="1"/>
    <col min="3" max="3" width="10" style="15" bestFit="1" customWidth="1"/>
    <col min="4" max="5" width="14" style="16" customWidth="1"/>
    <col min="6" max="6" width="14.453125" style="16" customWidth="1"/>
    <col min="7" max="7" width="14" style="16" customWidth="1"/>
    <col min="8" max="8" width="14" style="17" customWidth="1"/>
    <col min="9" max="9" width="1.1796875" style="15" customWidth="1"/>
    <col min="10" max="10" width="13.54296875" style="15" customWidth="1"/>
    <col min="11" max="11" width="11.54296875" style="15" customWidth="1"/>
    <col min="12" max="16384" width="9.1796875" style="15"/>
  </cols>
  <sheetData>
    <row r="1" spans="1:15" ht="15.5" x14ac:dyDescent="0.35">
      <c r="A1" s="8" t="s">
        <v>44</v>
      </c>
    </row>
    <row r="2" spans="1:15" ht="13" thickBot="1" x14ac:dyDescent="0.3">
      <c r="J2" s="65">
        <v>11</v>
      </c>
      <c r="K2" s="65">
        <v>12</v>
      </c>
      <c r="L2" s="65">
        <v>13</v>
      </c>
      <c r="M2" s="65">
        <v>14</v>
      </c>
      <c r="N2" s="65">
        <v>15</v>
      </c>
      <c r="O2" s="65">
        <v>16</v>
      </c>
    </row>
    <row r="3" spans="1:15" ht="13.5" thickBot="1" x14ac:dyDescent="0.3">
      <c r="J3" s="115" t="s">
        <v>45</v>
      </c>
      <c r="K3" s="116"/>
      <c r="L3" s="116"/>
      <c r="M3" s="116"/>
      <c r="N3" s="116"/>
      <c r="O3" s="117"/>
    </row>
    <row r="4" spans="1:15" s="18" customFormat="1" ht="48.65" customHeight="1" x14ac:dyDescent="0.25">
      <c r="A4" s="22" t="s">
        <v>46</v>
      </c>
      <c r="B4" s="23" t="s">
        <v>47</v>
      </c>
      <c r="C4" s="23" t="s">
        <v>48</v>
      </c>
      <c r="D4" s="24" t="s">
        <v>49</v>
      </c>
      <c r="E4" s="24" t="s">
        <v>50</v>
      </c>
      <c r="F4" s="24" t="s">
        <v>51</v>
      </c>
      <c r="G4" s="24" t="s">
        <v>52</v>
      </c>
      <c r="H4" s="25" t="s">
        <v>53</v>
      </c>
      <c r="I4" s="19"/>
      <c r="J4" s="66" t="s">
        <v>54</v>
      </c>
      <c r="K4" s="67" t="s">
        <v>55</v>
      </c>
      <c r="L4" s="67" t="s">
        <v>56</v>
      </c>
      <c r="M4" s="68" t="s">
        <v>57</v>
      </c>
      <c r="N4" s="68" t="s">
        <v>58</v>
      </c>
      <c r="O4" s="69" t="s">
        <v>59</v>
      </c>
    </row>
    <row r="5" spans="1:15" ht="13" x14ac:dyDescent="0.25">
      <c r="A5" s="11" t="s">
        <v>9</v>
      </c>
      <c r="B5" s="12" t="s">
        <v>60</v>
      </c>
      <c r="C5" s="12" t="s">
        <v>61</v>
      </c>
      <c r="D5" s="29">
        <v>113</v>
      </c>
      <c r="E5" s="28">
        <v>91</v>
      </c>
      <c r="F5" s="28"/>
      <c r="G5" s="28">
        <f>$D5*10000*(5/12)+$E5*10000*(7/12)</f>
        <v>1001666.6666666667</v>
      </c>
      <c r="H5" s="44">
        <v>1453333</v>
      </c>
      <c r="I5" s="19"/>
      <c r="J5" s="80"/>
      <c r="K5" s="28"/>
      <c r="L5" s="28"/>
      <c r="M5" s="28"/>
      <c r="N5" s="28"/>
      <c r="O5" s="44"/>
    </row>
    <row r="6" spans="1:15" ht="13" x14ac:dyDescent="0.25">
      <c r="A6" s="11" t="s">
        <v>1</v>
      </c>
      <c r="B6" s="12" t="s">
        <v>60</v>
      </c>
      <c r="C6" s="12" t="s">
        <v>62</v>
      </c>
      <c r="D6" s="29">
        <v>170</v>
      </c>
      <c r="E6" s="28">
        <v>170</v>
      </c>
      <c r="F6" s="28">
        <f>$D6*10000*(5/12)+$E6*10000*(7/12)</f>
        <v>1700000</v>
      </c>
      <c r="G6" s="28"/>
      <c r="H6" s="44">
        <v>2854750</v>
      </c>
      <c r="I6" s="19"/>
      <c r="J6" s="80">
        <v>78010</v>
      </c>
      <c r="K6" s="28">
        <v>620</v>
      </c>
      <c r="L6" s="28">
        <v>2345</v>
      </c>
      <c r="M6" s="28">
        <v>17675</v>
      </c>
      <c r="N6" s="28">
        <v>16450</v>
      </c>
      <c r="O6" s="44"/>
    </row>
    <row r="7" spans="1:15" ht="13" x14ac:dyDescent="0.25">
      <c r="A7" s="11" t="s">
        <v>11</v>
      </c>
      <c r="B7" s="12" t="s">
        <v>63</v>
      </c>
      <c r="C7" s="12" t="s">
        <v>62</v>
      </c>
      <c r="D7" s="29">
        <v>250</v>
      </c>
      <c r="E7" s="28">
        <v>250</v>
      </c>
      <c r="F7" s="28">
        <f>$D7*10000*(5/12)+$E7*10000*(7/12)</f>
        <v>2500000</v>
      </c>
      <c r="G7" s="28"/>
      <c r="H7" s="44">
        <v>3346583</v>
      </c>
      <c r="I7" s="19"/>
      <c r="J7" s="80">
        <v>71625</v>
      </c>
      <c r="K7" s="28">
        <v>310</v>
      </c>
      <c r="L7" s="28">
        <v>14070</v>
      </c>
      <c r="M7" s="28"/>
      <c r="N7" s="28"/>
      <c r="O7" s="44"/>
    </row>
    <row r="8" spans="1:15" ht="13" x14ac:dyDescent="0.25">
      <c r="A8" s="11" t="s">
        <v>13</v>
      </c>
      <c r="B8" s="12" t="s">
        <v>63</v>
      </c>
      <c r="C8" s="12" t="s">
        <v>61</v>
      </c>
      <c r="D8" s="29">
        <v>95</v>
      </c>
      <c r="E8" s="28">
        <v>109</v>
      </c>
      <c r="F8" s="28"/>
      <c r="G8" s="28">
        <f t="shared" ref="G8:G11" si="0">$D8*10000*(5/12)+$E8*10000*(7/12)</f>
        <v>1031666.6666666667</v>
      </c>
      <c r="H8" s="44">
        <v>2197083</v>
      </c>
      <c r="I8" s="19"/>
      <c r="J8" s="80"/>
      <c r="K8" s="28"/>
      <c r="L8" s="28"/>
      <c r="M8" s="28"/>
      <c r="N8" s="28"/>
      <c r="O8" s="44"/>
    </row>
    <row r="9" spans="1:15" ht="13" x14ac:dyDescent="0.25">
      <c r="A9" s="11" t="s">
        <v>14</v>
      </c>
      <c r="B9" s="12" t="s">
        <v>64</v>
      </c>
      <c r="C9" s="12" t="s">
        <v>65</v>
      </c>
      <c r="D9" s="29">
        <v>147</v>
      </c>
      <c r="E9" s="28">
        <v>150</v>
      </c>
      <c r="F9" s="28"/>
      <c r="G9" s="28">
        <f t="shared" si="0"/>
        <v>1487500</v>
      </c>
      <c r="H9" s="44">
        <v>1863750</v>
      </c>
      <c r="I9" s="19"/>
      <c r="J9" s="80"/>
      <c r="K9" s="28"/>
      <c r="L9" s="28"/>
      <c r="M9" s="28"/>
      <c r="N9" s="28"/>
      <c r="O9" s="44"/>
    </row>
    <row r="10" spans="1:15" ht="13" x14ac:dyDescent="0.25">
      <c r="A10" s="11" t="s">
        <v>16</v>
      </c>
      <c r="B10" s="12" t="s">
        <v>60</v>
      </c>
      <c r="C10" s="12" t="s">
        <v>61</v>
      </c>
      <c r="D10" s="29">
        <v>38</v>
      </c>
      <c r="E10" s="28">
        <v>60</v>
      </c>
      <c r="F10" s="28"/>
      <c r="G10" s="28">
        <f t="shared" si="0"/>
        <v>508333.33333333337</v>
      </c>
      <c r="H10" s="44">
        <v>365250</v>
      </c>
      <c r="I10" s="19"/>
      <c r="J10" s="80"/>
      <c r="K10" s="28"/>
      <c r="L10" s="28"/>
      <c r="M10" s="28"/>
      <c r="N10" s="28"/>
      <c r="O10" s="44"/>
    </row>
    <row r="11" spans="1:15" ht="13" x14ac:dyDescent="0.25">
      <c r="A11" s="11" t="s">
        <v>17</v>
      </c>
      <c r="B11" s="12" t="s">
        <v>63</v>
      </c>
      <c r="C11" s="12" t="s">
        <v>61</v>
      </c>
      <c r="D11" s="29">
        <v>65</v>
      </c>
      <c r="E11" s="28">
        <v>65</v>
      </c>
      <c r="F11" s="28"/>
      <c r="G11" s="28">
        <f t="shared" si="0"/>
        <v>650000</v>
      </c>
      <c r="H11" s="44">
        <v>1021250</v>
      </c>
      <c r="I11" s="19"/>
      <c r="J11" s="80"/>
      <c r="K11" s="28"/>
      <c r="L11" s="28"/>
      <c r="M11" s="28"/>
      <c r="N11" s="28"/>
      <c r="O11" s="44"/>
    </row>
    <row r="12" spans="1:15" ht="13.5" thickBot="1" x14ac:dyDescent="0.3">
      <c r="A12" s="13" t="s">
        <v>18</v>
      </c>
      <c r="B12" s="14" t="s">
        <v>66</v>
      </c>
      <c r="C12" s="14" t="s">
        <v>61</v>
      </c>
      <c r="D12" s="45">
        <v>73</v>
      </c>
      <c r="E12" s="46">
        <v>73</v>
      </c>
      <c r="F12" s="46"/>
      <c r="G12" s="46">
        <f>$D12*10000*(5/12)+$E12*10000*(7/12)</f>
        <v>730000</v>
      </c>
      <c r="H12" s="55">
        <f>73*10476</f>
        <v>764748</v>
      </c>
      <c r="I12" s="19"/>
      <c r="J12" s="81"/>
      <c r="K12" s="46"/>
      <c r="L12" s="46"/>
      <c r="M12" s="46"/>
      <c r="N12" s="46"/>
      <c r="O12" s="55"/>
    </row>
    <row r="13" spans="1:15" ht="13" x14ac:dyDescent="0.25">
      <c r="D13" s="56">
        <f t="shared" ref="D13" si="1">SUM(D5:D12)</f>
        <v>951</v>
      </c>
      <c r="E13" s="56">
        <f t="shared" ref="E13" si="2">SUM(E5:E12)</f>
        <v>968</v>
      </c>
      <c r="F13" s="56">
        <f t="shared" ref="F13:G13" si="3">SUM(F5:F12)</f>
        <v>4200000</v>
      </c>
      <c r="G13" s="56">
        <f t="shared" si="3"/>
        <v>5409166.666666667</v>
      </c>
      <c r="H13" s="56">
        <f>SUM(H5:H12)</f>
        <v>13866747</v>
      </c>
      <c r="J13" s="56">
        <f t="shared" ref="J13:O13" si="4">SUM(J5:J12)</f>
        <v>149635</v>
      </c>
      <c r="K13" s="56">
        <f t="shared" si="4"/>
        <v>930</v>
      </c>
      <c r="L13" s="56">
        <f t="shared" si="4"/>
        <v>16415</v>
      </c>
      <c r="M13" s="56">
        <f t="shared" si="4"/>
        <v>17675</v>
      </c>
      <c r="N13" s="56">
        <f t="shared" si="4"/>
        <v>16450</v>
      </c>
      <c r="O13" s="56">
        <f t="shared" si="4"/>
        <v>0</v>
      </c>
    </row>
    <row r="14" spans="1:15" x14ac:dyDescent="0.25">
      <c r="A14" s="30"/>
    </row>
    <row r="15" spans="1:15" x14ac:dyDescent="0.25">
      <c r="A15" s="43"/>
    </row>
  </sheetData>
  <sheetProtection selectLockedCells="1" selectUnlockedCells="1"/>
  <mergeCells count="1">
    <mergeCell ref="J3:O3"/>
  </mergeCells>
  <pageMargins left="0.32" right="0.25" top="1" bottom="1" header="0.5" footer="0.5"/>
  <pageSetup paperSize="9" scale="78" orientation="landscape" r:id="rId1"/>
  <headerFooter alignWithMargins="0"/>
  <ignoredErrors>
    <ignoredError sqref="G6:G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4"/>
  <sheetViews>
    <sheetView workbookViewId="0">
      <selection activeCell="E26" sqref="E26"/>
    </sheetView>
  </sheetViews>
  <sheetFormatPr defaultRowHeight="12.5" x14ac:dyDescent="0.25"/>
  <cols>
    <col min="1" max="1" width="12.7265625" customWidth="1"/>
    <col min="2" max="5" width="20" customWidth="1"/>
    <col min="6" max="6" width="23.26953125" customWidth="1"/>
    <col min="7" max="7" width="20" customWidth="1"/>
  </cols>
  <sheetData>
    <row r="2" spans="1:7" x14ac:dyDescent="0.25">
      <c r="B2" t="s">
        <v>67</v>
      </c>
      <c r="C2" t="s">
        <v>68</v>
      </c>
      <c r="D2" t="s">
        <v>69</v>
      </c>
      <c r="E2" t="s">
        <v>23</v>
      </c>
      <c r="F2" s="10" t="s">
        <v>70</v>
      </c>
      <c r="G2" t="s">
        <v>71</v>
      </c>
    </row>
    <row r="3" spans="1:7" x14ac:dyDescent="0.25">
      <c r="A3" t="s">
        <v>1</v>
      </c>
      <c r="B3">
        <v>56760</v>
      </c>
      <c r="D3">
        <v>10287</v>
      </c>
      <c r="E3">
        <v>8644</v>
      </c>
      <c r="F3">
        <v>8658</v>
      </c>
    </row>
    <row r="4" spans="1:7" x14ac:dyDescent="0.25">
      <c r="A4" t="s">
        <v>11</v>
      </c>
      <c r="B4">
        <v>65450</v>
      </c>
      <c r="C4">
        <v>300</v>
      </c>
      <c r="F4">
        <v>11594</v>
      </c>
      <c r="G4">
        <v>2932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4"/>
  <sheetViews>
    <sheetView workbookViewId="0">
      <pane xSplit="1" ySplit="3" topLeftCell="H4" activePane="bottomRight" state="frozen"/>
      <selection pane="topRight" activeCell="C1" sqref="C1"/>
      <selection pane="bottomLeft" activeCell="A5" sqref="A5"/>
      <selection pane="bottomRight" activeCell="K35" sqref="K35"/>
    </sheetView>
  </sheetViews>
  <sheetFormatPr defaultColWidth="9.1796875" defaultRowHeight="12.5" x14ac:dyDescent="0.25"/>
  <cols>
    <col min="1" max="1" width="15.26953125" style="15" customWidth="1"/>
    <col min="2" max="2" width="7.81640625" style="15" bestFit="1" customWidth="1"/>
    <col min="3" max="3" width="10" style="15" bestFit="1" customWidth="1"/>
    <col min="4" max="5" width="15.26953125" style="17" customWidth="1"/>
    <col min="6" max="12" width="15.26953125" style="27" customWidth="1"/>
    <col min="13" max="13" width="15.26953125" style="17" customWidth="1"/>
    <col min="14" max="14" width="15" style="15" customWidth="1"/>
    <col min="15" max="15" width="72.81640625" style="15" bestFit="1" customWidth="1"/>
    <col min="16" max="16" width="10.1796875" style="15" bestFit="1" customWidth="1"/>
    <col min="17" max="16384" width="9.1796875" style="15"/>
  </cols>
  <sheetData>
    <row r="1" spans="1:13" ht="15.5" x14ac:dyDescent="0.35">
      <c r="A1" s="8" t="s">
        <v>98</v>
      </c>
    </row>
    <row r="3" spans="1:13" ht="13" thickBot="1" x14ac:dyDescent="0.3"/>
    <row r="4" spans="1:13" ht="55" customHeight="1" x14ac:dyDescent="0.25">
      <c r="A4" s="75" t="s">
        <v>46</v>
      </c>
      <c r="B4" s="76" t="s">
        <v>99</v>
      </c>
      <c r="C4" s="76" t="s">
        <v>48</v>
      </c>
      <c r="D4" s="76" t="s">
        <v>100</v>
      </c>
      <c r="E4" s="76" t="s">
        <v>101</v>
      </c>
      <c r="F4" s="76" t="s">
        <v>102</v>
      </c>
      <c r="G4" s="76" t="s">
        <v>103</v>
      </c>
      <c r="H4" s="76" t="s">
        <v>104</v>
      </c>
      <c r="I4" s="24" t="s">
        <v>105</v>
      </c>
      <c r="J4" s="24" t="s">
        <v>106</v>
      </c>
      <c r="K4" s="76" t="s">
        <v>51</v>
      </c>
      <c r="L4" s="76" t="s">
        <v>107</v>
      </c>
      <c r="M4" s="57" t="s">
        <v>53</v>
      </c>
    </row>
    <row r="5" spans="1:13" x14ac:dyDescent="0.25">
      <c r="A5" s="77" t="s">
        <v>78</v>
      </c>
      <c r="B5" s="73" t="s">
        <v>108</v>
      </c>
      <c r="C5" s="72" t="s">
        <v>62</v>
      </c>
      <c r="D5" s="28">
        <v>10</v>
      </c>
      <c r="E5" s="28">
        <f>D5</f>
        <v>10</v>
      </c>
      <c r="F5" s="28">
        <v>8</v>
      </c>
      <c r="G5" s="28">
        <f>F5*6000</f>
        <v>48000</v>
      </c>
      <c r="H5" s="28">
        <f>E5-F5</f>
        <v>2</v>
      </c>
      <c r="I5" s="28">
        <f>H5*10000</f>
        <v>20000</v>
      </c>
      <c r="J5" s="28"/>
      <c r="K5" s="28">
        <f>IF(C5="maintained",G5+I5+J5,0)</f>
        <v>68000</v>
      </c>
      <c r="L5" s="28">
        <f>G5+I5+J5-K5</f>
        <v>0</v>
      </c>
      <c r="M5" s="44">
        <v>125000</v>
      </c>
    </row>
    <row r="6" spans="1:13" x14ac:dyDescent="0.25">
      <c r="A6" s="77" t="s">
        <v>80</v>
      </c>
      <c r="B6" s="73" t="s">
        <v>108</v>
      </c>
      <c r="C6" s="72" t="s">
        <v>62</v>
      </c>
      <c r="D6" s="28">
        <v>10</v>
      </c>
      <c r="E6" s="28">
        <f t="shared" ref="E6:E18" si="0">D6</f>
        <v>10</v>
      </c>
      <c r="F6" s="28">
        <v>4</v>
      </c>
      <c r="G6" s="28">
        <f t="shared" ref="G6:G18" si="1">F6*6000</f>
        <v>24000</v>
      </c>
      <c r="H6" s="28">
        <f t="shared" ref="H6:H18" si="2">E6-F6</f>
        <v>6</v>
      </c>
      <c r="I6" s="28">
        <f t="shared" ref="I6:I18" si="3">H6*10000</f>
        <v>60000</v>
      </c>
      <c r="J6" s="28"/>
      <c r="K6" s="28">
        <f t="shared" ref="K6:K18" si="4">IF(C6="maintained",G6+I6+J6,0)</f>
        <v>84000</v>
      </c>
      <c r="L6" s="28">
        <f t="shared" ref="L6:L18" si="5">G6+I6+J6-K6</f>
        <v>0</v>
      </c>
      <c r="M6" s="44">
        <v>83750</v>
      </c>
    </row>
    <row r="7" spans="1:13" x14ac:dyDescent="0.25">
      <c r="A7" s="77" t="s">
        <v>109</v>
      </c>
      <c r="B7" s="73" t="s">
        <v>108</v>
      </c>
      <c r="C7" s="72" t="s">
        <v>61</v>
      </c>
      <c r="D7" s="28">
        <v>13</v>
      </c>
      <c r="E7" s="28">
        <f t="shared" si="0"/>
        <v>13</v>
      </c>
      <c r="F7" s="28">
        <v>7</v>
      </c>
      <c r="G7" s="28">
        <f t="shared" si="1"/>
        <v>42000</v>
      </c>
      <c r="H7" s="28">
        <f t="shared" si="2"/>
        <v>6</v>
      </c>
      <c r="I7" s="28">
        <f t="shared" si="3"/>
        <v>60000</v>
      </c>
      <c r="J7" s="28"/>
      <c r="K7" s="28">
        <f t="shared" si="4"/>
        <v>0</v>
      </c>
      <c r="L7" s="28">
        <f t="shared" si="5"/>
        <v>102000</v>
      </c>
      <c r="M7" s="44">
        <v>114583</v>
      </c>
    </row>
    <row r="8" spans="1:13" x14ac:dyDescent="0.25">
      <c r="A8" s="77" t="s">
        <v>83</v>
      </c>
      <c r="B8" s="73" t="s">
        <v>108</v>
      </c>
      <c r="C8" s="72" t="s">
        <v>62</v>
      </c>
      <c r="D8" s="28">
        <v>8</v>
      </c>
      <c r="E8" s="28">
        <f t="shared" si="0"/>
        <v>8</v>
      </c>
      <c r="F8" s="28">
        <v>4</v>
      </c>
      <c r="G8" s="28">
        <f t="shared" si="1"/>
        <v>24000</v>
      </c>
      <c r="H8" s="28">
        <f t="shared" si="2"/>
        <v>4</v>
      </c>
      <c r="I8" s="28">
        <f t="shared" si="3"/>
        <v>40000</v>
      </c>
      <c r="J8" s="28"/>
      <c r="K8" s="28">
        <f t="shared" si="4"/>
        <v>64000</v>
      </c>
      <c r="L8" s="28">
        <f t="shared" si="5"/>
        <v>0</v>
      </c>
      <c r="M8" s="44">
        <v>50000</v>
      </c>
    </row>
    <row r="9" spans="1:13" x14ac:dyDescent="0.25">
      <c r="A9" s="77" t="s">
        <v>84</v>
      </c>
      <c r="B9" s="73" t="s">
        <v>108</v>
      </c>
      <c r="C9" s="72" t="s">
        <v>62</v>
      </c>
      <c r="D9" s="28">
        <v>11</v>
      </c>
      <c r="E9" s="28">
        <v>11</v>
      </c>
      <c r="F9" s="28">
        <v>9</v>
      </c>
      <c r="G9" s="28">
        <f t="shared" si="1"/>
        <v>54000</v>
      </c>
      <c r="H9" s="28">
        <f t="shared" si="2"/>
        <v>2</v>
      </c>
      <c r="I9" s="28">
        <f t="shared" si="3"/>
        <v>20000</v>
      </c>
      <c r="J9" s="28"/>
      <c r="K9" s="28">
        <f t="shared" si="4"/>
        <v>74000</v>
      </c>
      <c r="L9" s="28">
        <f t="shared" si="5"/>
        <v>0</v>
      </c>
      <c r="M9" s="44">
        <v>127500</v>
      </c>
    </row>
    <row r="10" spans="1:13" x14ac:dyDescent="0.25">
      <c r="A10" s="77" t="s">
        <v>85</v>
      </c>
      <c r="B10" s="73" t="s">
        <v>108</v>
      </c>
      <c r="C10" s="72" t="s">
        <v>62</v>
      </c>
      <c r="D10" s="28">
        <v>13</v>
      </c>
      <c r="E10" s="28">
        <f t="shared" si="0"/>
        <v>13</v>
      </c>
      <c r="F10" s="28">
        <v>9</v>
      </c>
      <c r="G10" s="28">
        <f t="shared" si="1"/>
        <v>54000</v>
      </c>
      <c r="H10" s="28">
        <v>3</v>
      </c>
      <c r="I10" s="28">
        <f t="shared" si="3"/>
        <v>30000</v>
      </c>
      <c r="J10" s="28"/>
      <c r="K10" s="28">
        <f t="shared" si="4"/>
        <v>84000</v>
      </c>
      <c r="L10" s="28">
        <f t="shared" si="5"/>
        <v>0</v>
      </c>
      <c r="M10" s="44">
        <v>192500</v>
      </c>
    </row>
    <row r="11" spans="1:13" x14ac:dyDescent="0.25">
      <c r="A11" s="77" t="s">
        <v>86</v>
      </c>
      <c r="B11" s="73" t="s">
        <v>108</v>
      </c>
      <c r="C11" s="72" t="s">
        <v>61</v>
      </c>
      <c r="D11" s="28">
        <v>12</v>
      </c>
      <c r="E11" s="28">
        <f t="shared" si="0"/>
        <v>12</v>
      </c>
      <c r="F11" s="28">
        <v>8</v>
      </c>
      <c r="G11" s="28">
        <f t="shared" si="1"/>
        <v>48000</v>
      </c>
      <c r="H11" s="28">
        <f t="shared" si="2"/>
        <v>4</v>
      </c>
      <c r="I11" s="28">
        <f t="shared" si="3"/>
        <v>40000</v>
      </c>
      <c r="J11" s="28"/>
      <c r="K11" s="28">
        <f t="shared" si="4"/>
        <v>0</v>
      </c>
      <c r="L11" s="28">
        <f t="shared" si="5"/>
        <v>88000</v>
      </c>
      <c r="M11" s="44">
        <v>116250</v>
      </c>
    </row>
    <row r="12" spans="1:13" x14ac:dyDescent="0.25">
      <c r="A12" s="77" t="s">
        <v>88</v>
      </c>
      <c r="B12" s="73" t="s">
        <v>108</v>
      </c>
      <c r="C12" s="72" t="s">
        <v>61</v>
      </c>
      <c r="D12" s="28">
        <v>10</v>
      </c>
      <c r="E12" s="28">
        <f t="shared" si="0"/>
        <v>10</v>
      </c>
      <c r="F12" s="28">
        <v>6</v>
      </c>
      <c r="G12" s="28">
        <f t="shared" si="1"/>
        <v>36000</v>
      </c>
      <c r="H12" s="28">
        <f t="shared" si="2"/>
        <v>4</v>
      </c>
      <c r="I12" s="28">
        <f t="shared" si="3"/>
        <v>40000</v>
      </c>
      <c r="J12" s="28"/>
      <c r="K12" s="28">
        <f t="shared" si="4"/>
        <v>0</v>
      </c>
      <c r="L12" s="28">
        <f t="shared" si="5"/>
        <v>76000</v>
      </c>
      <c r="M12" s="44">
        <v>66308</v>
      </c>
    </row>
    <row r="13" spans="1:13" x14ac:dyDescent="0.25">
      <c r="A13" s="77" t="s">
        <v>89</v>
      </c>
      <c r="B13" s="73" t="s">
        <v>108</v>
      </c>
      <c r="C13" s="72" t="s">
        <v>61</v>
      </c>
      <c r="D13" s="28">
        <v>12</v>
      </c>
      <c r="E13" s="28">
        <f t="shared" si="0"/>
        <v>12</v>
      </c>
      <c r="F13" s="28">
        <v>8</v>
      </c>
      <c r="G13" s="28">
        <f t="shared" si="1"/>
        <v>48000</v>
      </c>
      <c r="H13" s="28">
        <f t="shared" si="2"/>
        <v>4</v>
      </c>
      <c r="I13" s="28">
        <f t="shared" si="3"/>
        <v>40000</v>
      </c>
      <c r="J13" s="28"/>
      <c r="K13" s="28">
        <f t="shared" si="4"/>
        <v>0</v>
      </c>
      <c r="L13" s="28">
        <f t="shared" si="5"/>
        <v>88000</v>
      </c>
      <c r="M13" s="44">
        <v>78500</v>
      </c>
    </row>
    <row r="14" spans="1:13" x14ac:dyDescent="0.25">
      <c r="A14" s="77" t="s">
        <v>73</v>
      </c>
      <c r="B14" s="74" t="s">
        <v>110</v>
      </c>
      <c r="C14" s="72" t="s">
        <v>62</v>
      </c>
      <c r="D14" s="28">
        <v>7</v>
      </c>
      <c r="E14" s="28">
        <f t="shared" si="0"/>
        <v>7</v>
      </c>
      <c r="F14" s="28">
        <v>5</v>
      </c>
      <c r="G14" s="28">
        <f t="shared" si="1"/>
        <v>30000</v>
      </c>
      <c r="H14" s="28">
        <f t="shared" si="2"/>
        <v>2</v>
      </c>
      <c r="I14" s="28">
        <f t="shared" si="3"/>
        <v>20000</v>
      </c>
      <c r="J14" s="28"/>
      <c r="K14" s="28">
        <f t="shared" si="4"/>
        <v>50000</v>
      </c>
      <c r="L14" s="28">
        <f t="shared" si="5"/>
        <v>0</v>
      </c>
      <c r="M14" s="44">
        <v>60000</v>
      </c>
    </row>
    <row r="15" spans="1:13" x14ac:dyDescent="0.25">
      <c r="A15" s="77" t="s">
        <v>90</v>
      </c>
      <c r="B15" s="74" t="s">
        <v>110</v>
      </c>
      <c r="C15" s="72" t="s">
        <v>61</v>
      </c>
      <c r="D15" s="28">
        <v>10</v>
      </c>
      <c r="E15" s="28">
        <f t="shared" si="0"/>
        <v>10</v>
      </c>
      <c r="F15" s="28">
        <v>5</v>
      </c>
      <c r="G15" s="28">
        <f t="shared" si="1"/>
        <v>30000</v>
      </c>
      <c r="H15" s="28">
        <f t="shared" si="2"/>
        <v>5</v>
      </c>
      <c r="I15" s="28">
        <f t="shared" si="3"/>
        <v>50000</v>
      </c>
      <c r="J15" s="28"/>
      <c r="K15" s="28">
        <f t="shared" si="4"/>
        <v>0</v>
      </c>
      <c r="L15" s="28">
        <f t="shared" si="5"/>
        <v>80000</v>
      </c>
      <c r="M15" s="44">
        <v>39200</v>
      </c>
    </row>
    <row r="16" spans="1:13" x14ac:dyDescent="0.25">
      <c r="A16" s="77" t="s">
        <v>91</v>
      </c>
      <c r="B16" s="74" t="s">
        <v>110</v>
      </c>
      <c r="C16" s="72" t="s">
        <v>62</v>
      </c>
      <c r="D16" s="28">
        <v>12</v>
      </c>
      <c r="E16" s="28">
        <f t="shared" si="0"/>
        <v>12</v>
      </c>
      <c r="F16" s="28">
        <v>13</v>
      </c>
      <c r="G16" s="28">
        <f t="shared" si="1"/>
        <v>78000</v>
      </c>
      <c r="H16" s="28">
        <v>0</v>
      </c>
      <c r="I16" s="28">
        <f t="shared" si="3"/>
        <v>0</v>
      </c>
      <c r="J16" s="28"/>
      <c r="K16" s="28">
        <f t="shared" si="4"/>
        <v>78000</v>
      </c>
      <c r="L16" s="28">
        <f t="shared" si="5"/>
        <v>0</v>
      </c>
      <c r="M16" s="44">
        <v>141800</v>
      </c>
    </row>
    <row r="17" spans="1:13" x14ac:dyDescent="0.25">
      <c r="A17" s="77" t="s">
        <v>93</v>
      </c>
      <c r="B17" s="74" t="s">
        <v>110</v>
      </c>
      <c r="C17" s="72" t="s">
        <v>61</v>
      </c>
      <c r="D17" s="28">
        <v>0</v>
      </c>
      <c r="E17" s="28">
        <v>6</v>
      </c>
      <c r="F17" s="28">
        <v>0</v>
      </c>
      <c r="G17" s="28">
        <f t="shared" si="1"/>
        <v>0</v>
      </c>
      <c r="H17" s="28"/>
      <c r="I17" s="28"/>
      <c r="J17" s="28">
        <f>7*10000*7/12</f>
        <v>40833.333333333336</v>
      </c>
      <c r="K17" s="28">
        <f t="shared" si="4"/>
        <v>0</v>
      </c>
      <c r="L17" s="28">
        <f t="shared" si="5"/>
        <v>40833.333333333336</v>
      </c>
      <c r="M17" s="44"/>
    </row>
    <row r="18" spans="1:13" ht="13" thickBot="1" x14ac:dyDescent="0.3">
      <c r="A18" s="78" t="s">
        <v>95</v>
      </c>
      <c r="B18" s="26" t="s">
        <v>110</v>
      </c>
      <c r="C18" s="79" t="s">
        <v>61</v>
      </c>
      <c r="D18" s="46">
        <v>16</v>
      </c>
      <c r="E18" s="46">
        <f t="shared" si="0"/>
        <v>16</v>
      </c>
      <c r="F18" s="46">
        <v>8</v>
      </c>
      <c r="G18" s="46">
        <f t="shared" si="1"/>
        <v>48000</v>
      </c>
      <c r="H18" s="46">
        <f t="shared" si="2"/>
        <v>8</v>
      </c>
      <c r="I18" s="46">
        <f t="shared" si="3"/>
        <v>80000</v>
      </c>
      <c r="J18" s="46"/>
      <c r="K18" s="46">
        <f t="shared" si="4"/>
        <v>0</v>
      </c>
      <c r="L18" s="46">
        <f t="shared" si="5"/>
        <v>128000</v>
      </c>
      <c r="M18" s="55">
        <v>71900</v>
      </c>
    </row>
    <row r="19" spans="1:13" ht="13" x14ac:dyDescent="0.25">
      <c r="A19" s="41" t="s">
        <v>97</v>
      </c>
      <c r="B19" s="41"/>
      <c r="C19" s="41"/>
      <c r="D19" s="42">
        <f t="shared" ref="D19:F19" si="6">SUM(D5:D18)</f>
        <v>144</v>
      </c>
      <c r="E19" s="42">
        <f t="shared" si="6"/>
        <v>150</v>
      </c>
      <c r="F19" s="42">
        <f t="shared" si="6"/>
        <v>94</v>
      </c>
      <c r="G19" s="42">
        <f t="shared" ref="G19" si="7">SUM(G5:G18)</f>
        <v>564000</v>
      </c>
      <c r="H19" s="42">
        <f t="shared" ref="H19" si="8">SUM(H5:H18)</f>
        <v>50</v>
      </c>
      <c r="I19" s="42">
        <f t="shared" ref="I19" si="9">SUM(I5:I18)</f>
        <v>500000</v>
      </c>
      <c r="J19" s="42">
        <f t="shared" ref="J19" si="10">SUM(J5:J18)</f>
        <v>40833.333333333336</v>
      </c>
      <c r="K19" s="42">
        <f t="shared" ref="K19" si="11">SUM(K5:K18)</f>
        <v>502000</v>
      </c>
      <c r="L19" s="42">
        <f t="shared" ref="L19:M19" si="12">SUM(L5:L18)</f>
        <v>602833.33333333326</v>
      </c>
      <c r="M19" s="42">
        <f t="shared" si="12"/>
        <v>1267291</v>
      </c>
    </row>
    <row r="20" spans="1:13" x14ac:dyDescent="0.25">
      <c r="M20" s="27"/>
    </row>
    <row r="21" spans="1:13" x14ac:dyDescent="0.25">
      <c r="M21" s="27"/>
    </row>
    <row r="22" spans="1:13" x14ac:dyDescent="0.25">
      <c r="A22" s="43"/>
      <c r="M22" s="27"/>
    </row>
    <row r="24" spans="1:13" x14ac:dyDescent="0.25">
      <c r="A24" s="15" t="s">
        <v>111</v>
      </c>
      <c r="B24" s="30" t="s">
        <v>112</v>
      </c>
    </row>
  </sheetData>
  <sheetProtection selectLockedCells="1" selectUnlockedCells="1"/>
  <phoneticPr fontId="5" type="noConversion"/>
  <pageMargins left="0.32" right="0.25" top="1" bottom="1" header="0.5" footer="0.5"/>
  <pageSetup paperSize="9"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zoomScaleNormal="100" workbookViewId="0">
      <selection activeCell="H35" sqref="H35"/>
    </sheetView>
  </sheetViews>
  <sheetFormatPr defaultRowHeight="12.5" x14ac:dyDescent="0.25"/>
  <cols>
    <col min="1" max="2" width="16.7265625" style="20" customWidth="1"/>
  </cols>
  <sheetData>
    <row r="1" spans="1:3" ht="15.5" x14ac:dyDescent="0.35">
      <c r="A1" s="35" t="s">
        <v>113</v>
      </c>
    </row>
    <row r="2" spans="1:3" ht="13" thickBot="1" x14ac:dyDescent="0.3"/>
    <row r="3" spans="1:3" s="1" customFormat="1" ht="26.5" thickBot="1" x14ac:dyDescent="0.35">
      <c r="A3" s="36" t="s">
        <v>114</v>
      </c>
      <c r="B3" s="37" t="s">
        <v>115</v>
      </c>
    </row>
    <row r="4" spans="1:3" x14ac:dyDescent="0.25">
      <c r="A4" s="38">
        <v>1</v>
      </c>
      <c r="B4" s="39">
        <v>2200</v>
      </c>
    </row>
    <row r="5" spans="1:3" x14ac:dyDescent="0.25">
      <c r="A5" s="31">
        <v>2</v>
      </c>
      <c r="B5" s="32">
        <v>3700</v>
      </c>
    </row>
    <row r="6" spans="1:3" x14ac:dyDescent="0.25">
      <c r="A6" s="31">
        <v>3</v>
      </c>
      <c r="B6" s="32">
        <v>6100</v>
      </c>
    </row>
    <row r="7" spans="1:3" x14ac:dyDescent="0.25">
      <c r="A7" s="31">
        <v>4</v>
      </c>
      <c r="B7" s="32">
        <v>8500</v>
      </c>
    </row>
    <row r="8" spans="1:3" x14ac:dyDescent="0.25">
      <c r="A8" s="31">
        <v>5</v>
      </c>
      <c r="B8" s="32">
        <v>10000</v>
      </c>
      <c r="C8" s="21"/>
    </row>
    <row r="9" spans="1:3" x14ac:dyDescent="0.25">
      <c r="A9" s="31">
        <v>6</v>
      </c>
      <c r="B9" s="32">
        <v>15000</v>
      </c>
      <c r="C9" s="21"/>
    </row>
    <row r="10" spans="1:3" x14ac:dyDescent="0.25">
      <c r="A10" s="31">
        <v>7</v>
      </c>
      <c r="B10" s="32">
        <v>20000</v>
      </c>
      <c r="C10" s="21"/>
    </row>
    <row r="11" spans="1:3" x14ac:dyDescent="0.25">
      <c r="A11" s="31">
        <v>8</v>
      </c>
      <c r="B11" s="32">
        <v>25000</v>
      </c>
      <c r="C11" s="21"/>
    </row>
    <row r="12" spans="1:3" x14ac:dyDescent="0.25">
      <c r="A12" s="31">
        <v>9</v>
      </c>
      <c r="B12" s="32">
        <v>30000</v>
      </c>
      <c r="C12" s="21"/>
    </row>
    <row r="13" spans="1:3" ht="13" thickBot="1" x14ac:dyDescent="0.3">
      <c r="A13" s="33" t="s">
        <v>116</v>
      </c>
      <c r="B13" s="34">
        <v>22500</v>
      </c>
      <c r="C13" s="21"/>
    </row>
    <row r="15" spans="1:3" x14ac:dyDescent="0.25">
      <c r="A15"/>
      <c r="B15"/>
    </row>
  </sheetData>
  <sheetProtection algorithmName="SHA-512" hashValue="ndXLYdA8Adi8xTfhhqea5hDa+DsjQDtA1JEMTKjsnyFCDtZ9f+twnws0iBK/yxOvXeHT/OEmbjLWEjXOWGyeEA==" saltValue="v4DujAqsw6HR6A26rvs3dA=="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8" ma:contentTypeDescription="Create a new document." ma:contentTypeScope="" ma:versionID="1c5b2744b6803f644f3c8bb789065cdd">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538c96bd3de5db1e257c9e3f459c6953"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62316f4-5d4e-44a8-a5ef-32b9ccfcf81e">
      <UserInfo>
        <DisplayName>Nina Yasin</DisplayName>
        <AccountId>4254</AccountId>
        <AccountType/>
      </UserInfo>
    </SharedWithUsers>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Props1.xml><?xml version="1.0" encoding="utf-8"?>
<ds:datastoreItem xmlns:ds="http://schemas.openxmlformats.org/officeDocument/2006/customXml" ds:itemID="{DAC2CA4B-5B00-4F3E-B2C2-CF42FEEE78F6}">
  <ds:schemaRefs>
    <ds:schemaRef ds:uri="http://schemas.microsoft.com/sharepoint/v3/contenttype/forms"/>
  </ds:schemaRefs>
</ds:datastoreItem>
</file>

<file path=customXml/itemProps2.xml><?xml version="1.0" encoding="utf-8"?>
<ds:datastoreItem xmlns:ds="http://schemas.openxmlformats.org/officeDocument/2006/customXml" ds:itemID="{F6911FD2-ABFF-4311-B9E4-441F15035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7C42D2-37B5-41A0-9984-DF10746657B8}">
  <ds:schemaRefs>
    <ds:schemaRef ds:uri="http://schemas.microsoft.com/office/2006/metadata/properties"/>
    <ds:schemaRef ds:uri="http://schemas.microsoft.com/office/infopath/2007/PartnerControls"/>
    <ds:schemaRef ds:uri="962316f4-5d4e-44a8-a5ef-32b9ccfcf81e"/>
    <ds:schemaRef ds:uri="bbfdf82c-52d2-4d4d-96ea-a7a5fb0091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Special School</vt:lpstr>
      <vt:lpstr>SRP</vt:lpstr>
      <vt:lpstr>Funding Analysis (Special)</vt:lpstr>
      <vt:lpstr>Other grants</vt:lpstr>
      <vt:lpstr>Funding Analysis (SRP)</vt:lpstr>
      <vt:lpstr>Top-up rates</vt:lpstr>
      <vt:lpstr>'Special School'!Criteria</vt:lpstr>
      <vt:lpstr>SRP!Criteria</vt:lpstr>
      <vt:lpstr>'Special School'!Print_Area</vt:lpstr>
      <vt:lpstr>SRP!Print_Area</vt:lpstr>
    </vt:vector>
  </TitlesOfParts>
  <Manager/>
  <Company>LBH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Malewicz</dc:creator>
  <cp:keywords/>
  <dc:description/>
  <cp:lastModifiedBy>Steve Denbeigh</cp:lastModifiedBy>
  <cp:revision/>
  <dcterms:created xsi:type="dcterms:W3CDTF">2013-03-08T11:33:00Z</dcterms:created>
  <dcterms:modified xsi:type="dcterms:W3CDTF">2025-07-07T11:12:34Z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2021-01-19T12:06:53Z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a0d34757-c594-4f32-b436-aeb5e00e369d</vt:lpwstr>
  </property>
  <property fmtid="{D5CDD505-2E9C-101B-9397-08002B2CF9AE}" pid="8" name="MSIP_Label_7a8edf35-91ea-44e1-afab-38c462b39a0c_ContentBits">
    <vt:lpwstr>0</vt:lpwstr>
  </property>
  <property fmtid="{D5CDD505-2E9C-101B-9397-08002B2CF9AE}" pid="9" name="ContentTypeId">
    <vt:lpwstr>0x010100CA917BF2E65A01458C8572B710C39C45</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